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trlProps/ctrlProp2.xml" ContentType="application/vnd.ms-excel.controlproperties+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5.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N:\Finance Department\Reporting\EVIP, CVTRS\FY21 Reporting\"/>
    </mc:Choice>
  </mc:AlternateContent>
  <xr:revisionPtr revIDLastSave="0" documentId="13_ncr:1_{39C481C4-7E39-4EF5-B4BD-F75D2ECEB88E}" xr6:coauthVersionLast="45" xr6:coauthVersionMax="45" xr10:uidLastSave="{00000000-0000-0000-0000-000000000000}"/>
  <bookViews>
    <workbookView xWindow="-108" yWindow="-108" windowWidth="23256" windowHeight="12576" firstSheet="1" activeTab="1" xr2:uid="{00000000-000D-0000-FFFF-FFFF00000000}"/>
  </bookViews>
  <sheets>
    <sheet name="Data Input" sheetId="2" state="hidden" r:id="rId1"/>
    <sheet name="Rev" sheetId="3" r:id="rId2"/>
    <sheet name="Exp" sheetId="4" r:id="rId3"/>
    <sheet name="Position" sheetId="5" r:id="rId4"/>
    <sheet name="Obligations" sheetId="6" r:id="rId5"/>
  </sheets>
  <definedNames>
    <definedName name="_xlnm.Print_Area" localSheetId="0">'Data Input'!$A$1:$X$77</definedName>
    <definedName name="_xlnm.Print_Area" localSheetId="2">Exp!$B$1:$L$42</definedName>
    <definedName name="_xlnm.Print_Area" localSheetId="3">Position!$A$1:$L$41</definedName>
    <definedName name="_xlnm.Print_Area" localSheetId="1">Rev!$B$1:$L$42</definedName>
    <definedName name="_xlnm.Print_Titles" localSheetId="0">'Data Input'!$2:$2</definedName>
  </definedNames>
  <calcPr calcId="191029"/>
  <webPublishing codePag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27" i="2" l="1"/>
  <c r="V23" i="2"/>
  <c r="V22" i="2"/>
  <c r="V74" i="2" l="1"/>
  <c r="V37" i="2" l="1"/>
  <c r="V26" i="2"/>
  <c r="V24" i="2"/>
  <c r="V20" i="2"/>
  <c r="V19" i="2"/>
  <c r="V15" i="2" l="1"/>
  <c r="V8" i="2"/>
  <c r="S45" i="2" l="1"/>
  <c r="U37" i="2"/>
  <c r="U36" i="2"/>
  <c r="U27" i="2"/>
  <c r="U26" i="2"/>
  <c r="U24" i="2"/>
  <c r="U23" i="2"/>
  <c r="U22" i="2"/>
  <c r="U20" i="2"/>
  <c r="U19" i="2"/>
  <c r="U15" i="2"/>
  <c r="U8" i="2"/>
  <c r="T85" i="2"/>
  <c r="T68" i="2"/>
  <c r="T64" i="2"/>
  <c r="T67" i="2" s="1"/>
  <c r="T72" i="2" s="1"/>
  <c r="T60" i="2"/>
  <c r="T58" i="2"/>
  <c r="T59" i="2" s="1"/>
  <c r="T57" i="2"/>
  <c r="T55" i="2"/>
  <c r="T54" i="2"/>
  <c r="T49" i="2"/>
  <c r="T48" i="2"/>
  <c r="T47" i="2"/>
  <c r="T46" i="2"/>
  <c r="T41" i="2"/>
  <c r="T37" i="2"/>
  <c r="T39" i="2" s="1"/>
  <c r="T27" i="2"/>
  <c r="T26" i="2"/>
  <c r="T24" i="2"/>
  <c r="T23" i="2"/>
  <c r="T32" i="2" s="1"/>
  <c r="T88" i="2" s="1"/>
  <c r="T22" i="2"/>
  <c r="T20" i="2"/>
  <c r="T19" i="2"/>
  <c r="T15" i="2"/>
  <c r="T8" i="2"/>
  <c r="T17" i="2" s="1"/>
  <c r="T86" i="2" l="1"/>
  <c r="T33" i="2"/>
  <c r="S85" i="2" l="1"/>
  <c r="S67" i="2"/>
  <c r="S72" i="2" s="1"/>
  <c r="S58" i="2"/>
  <c r="S60" i="2" s="1"/>
  <c r="S57" i="2"/>
  <c r="S55" i="2"/>
  <c r="S54" i="2"/>
  <c r="S49" i="2"/>
  <c r="S48" i="2"/>
  <c r="S38" i="2"/>
  <c r="S37" i="2"/>
  <c r="S39" i="2" s="1"/>
  <c r="S27" i="2"/>
  <c r="S26" i="2"/>
  <c r="S24" i="2"/>
  <c r="S23" i="2"/>
  <c r="S22" i="2"/>
  <c r="S20" i="2"/>
  <c r="S19" i="2"/>
  <c r="S15" i="2"/>
  <c r="S17" i="2" s="1"/>
  <c r="S41" i="2" l="1"/>
  <c r="S32" i="2"/>
  <c r="S88" i="2" s="1"/>
  <c r="S86" i="2"/>
  <c r="S33" i="2"/>
  <c r="S59" i="2"/>
  <c r="R85" i="2" l="1"/>
  <c r="R67" i="2"/>
  <c r="R72" i="2" s="1"/>
  <c r="R58" i="2"/>
  <c r="R57" i="2"/>
  <c r="R55" i="2"/>
  <c r="R54" i="2"/>
  <c r="R49" i="2"/>
  <c r="R48" i="2"/>
  <c r="R41" i="2"/>
  <c r="R39" i="2"/>
  <c r="R27" i="2"/>
  <c r="R32" i="2" s="1"/>
  <c r="R88" i="2" s="1"/>
  <c r="R23" i="2"/>
  <c r="R22" i="2"/>
  <c r="R15" i="2"/>
  <c r="R14" i="2"/>
  <c r="R12" i="2"/>
  <c r="R10" i="2"/>
  <c r="R60" i="2" l="1"/>
  <c r="R17" i="2"/>
  <c r="R33" i="2" s="1"/>
  <c r="R59" i="2"/>
  <c r="R86" i="2"/>
  <c r="Q85" i="2" l="1"/>
  <c r="Q67" i="2"/>
  <c r="Q72" i="2" s="1"/>
  <c r="Q57" i="2"/>
  <c r="Q55" i="2"/>
  <c r="Q54" i="2"/>
  <c r="U45" i="2"/>
  <c r="T45" i="2" s="1"/>
  <c r="Q49" i="2"/>
  <c r="Q41" i="2"/>
  <c r="Q39" i="2"/>
  <c r="Q32" i="2"/>
  <c r="Q88" i="2" s="1"/>
  <c r="Q27" i="2"/>
  <c r="Q23" i="2"/>
  <c r="Q22" i="2"/>
  <c r="Q17" i="2"/>
  <c r="Q86" i="2" s="1"/>
  <c r="R45" i="2" l="1"/>
  <c r="Q45" i="2" s="1"/>
  <c r="Q58" i="2"/>
  <c r="Q60" i="2" s="1"/>
  <c r="Q33" i="2"/>
  <c r="Q48" i="2"/>
  <c r="Q59" i="2" l="1"/>
  <c r="V41" i="2"/>
  <c r="U41" i="2"/>
  <c r="P41" i="2"/>
  <c r="U51" i="2" l="1"/>
  <c r="T51" i="2" l="1"/>
  <c r="S51" i="2" s="1"/>
  <c r="R51" i="2" s="1"/>
  <c r="Q51" i="2" s="1"/>
  <c r="P51" i="2" s="1"/>
  <c r="O51" i="2" s="1"/>
  <c r="U85" i="2"/>
  <c r="U67" i="2"/>
  <c r="U72" i="2" s="1"/>
  <c r="U55" i="2"/>
  <c r="U54" i="2"/>
  <c r="U58" i="2"/>
  <c r="U57" i="2"/>
  <c r="U39" i="2"/>
  <c r="U17" i="2"/>
  <c r="P85" i="2"/>
  <c r="P67" i="2"/>
  <c r="P72" i="2" s="1"/>
  <c r="P53" i="2"/>
  <c r="P52" i="2"/>
  <c r="P47" i="2"/>
  <c r="P46" i="2"/>
  <c r="P48" i="2" s="1"/>
  <c r="P39" i="2"/>
  <c r="P23" i="2"/>
  <c r="P22" i="2"/>
  <c r="P17" i="2"/>
  <c r="P86" i="2" s="1"/>
  <c r="U86" i="2" l="1"/>
  <c r="W18" i="2"/>
  <c r="P32" i="2"/>
  <c r="P88" i="2" s="1"/>
  <c r="P49" i="2"/>
  <c r="P57" i="2"/>
  <c r="U60" i="2"/>
  <c r="U59" i="2"/>
  <c r="U48" i="2"/>
  <c r="P55" i="2"/>
  <c r="U49" i="2"/>
  <c r="P54" i="2"/>
  <c r="P58" i="2"/>
  <c r="P33" i="2" l="1"/>
  <c r="P60" i="2"/>
  <c r="P59" i="2"/>
  <c r="U32" i="2" l="1"/>
  <c r="U88" i="2" l="1"/>
  <c r="U33" i="2"/>
  <c r="O85" i="2"/>
  <c r="O67" i="2"/>
  <c r="O72" i="2" s="1"/>
  <c r="O58" i="2"/>
  <c r="O49" i="2"/>
  <c r="O48" i="2"/>
  <c r="O41" i="2"/>
  <c r="O32" i="2"/>
  <c r="O88" i="2" s="1"/>
  <c r="O17" i="2"/>
  <c r="O33" i="2" l="1"/>
  <c r="O39" i="2"/>
  <c r="O86" i="2"/>
  <c r="N85" i="2" l="1"/>
  <c r="N67" i="2"/>
  <c r="N72" i="2" s="1"/>
  <c r="N58" i="2"/>
  <c r="N49" i="2"/>
  <c r="N48" i="2"/>
  <c r="N37" i="2"/>
  <c r="N41" i="2" s="1"/>
  <c r="N32" i="2"/>
  <c r="N17" i="2"/>
  <c r="N86" i="2" s="1"/>
  <c r="N51" i="2" l="1"/>
  <c r="M51" i="2" s="1"/>
  <c r="L51" i="2" s="1"/>
  <c r="K51" i="2" s="1"/>
  <c r="J51" i="2" s="1"/>
  <c r="I51" i="2" s="1"/>
  <c r="H51" i="2" s="1"/>
  <c r="N39" i="2"/>
  <c r="N33" i="2"/>
  <c r="N88" i="2"/>
  <c r="M85" i="2" l="1"/>
  <c r="M67" i="2"/>
  <c r="M72" i="2" s="1"/>
  <c r="M53" i="2" l="1"/>
  <c r="M58" i="2" s="1"/>
  <c r="M49" i="2"/>
  <c r="M48" i="2"/>
  <c r="M38" i="2"/>
  <c r="M37" i="2"/>
  <c r="M39" i="2" s="1"/>
  <c r="M31" i="2"/>
  <c r="M30" i="2"/>
  <c r="M27" i="2"/>
  <c r="M22" i="2"/>
  <c r="M23" i="2" s="1"/>
  <c r="M19" i="2"/>
  <c r="M17" i="2"/>
  <c r="M86" i="2" s="1"/>
  <c r="M41" i="2" l="1"/>
  <c r="M32" i="2"/>
  <c r="M88" i="2" s="1"/>
  <c r="X71" i="2"/>
  <c r="X70" i="2"/>
  <c r="X69" i="2"/>
  <c r="X68" i="2"/>
  <c r="X38" i="2"/>
  <c r="X37" i="2"/>
  <c r="X36" i="2"/>
  <c r="X31" i="2"/>
  <c r="X30" i="2"/>
  <c r="X29" i="2"/>
  <c r="X28" i="2"/>
  <c r="X27" i="2"/>
  <c r="X26" i="2"/>
  <c r="X25" i="2"/>
  <c r="X24" i="2"/>
  <c r="X23" i="2"/>
  <c r="X22" i="2"/>
  <c r="X21" i="2"/>
  <c r="X20" i="2"/>
  <c r="X19" i="2"/>
  <c r="X16" i="2"/>
  <c r="X15" i="2"/>
  <c r="X14" i="2"/>
  <c r="X13" i="2"/>
  <c r="X12" i="2"/>
  <c r="X11" i="2"/>
  <c r="X10" i="2"/>
  <c r="X9" i="2"/>
  <c r="X8" i="2"/>
  <c r="X7" i="2"/>
  <c r="M33" i="2" l="1"/>
  <c r="K11" i="5"/>
  <c r="K10" i="5"/>
  <c r="K9" i="5"/>
  <c r="J11" i="5"/>
  <c r="J10" i="5"/>
  <c r="J9" i="5"/>
  <c r="K4" i="5"/>
  <c r="J4" i="5"/>
  <c r="L11" i="5" l="1"/>
  <c r="L9" i="5"/>
  <c r="L10" i="5"/>
  <c r="J52" i="2" l="1"/>
  <c r="K52" i="2" s="1"/>
  <c r="L52" i="2" s="1"/>
  <c r="L55" i="2" l="1"/>
  <c r="L54" i="2"/>
  <c r="M57" i="2" l="1"/>
  <c r="M55" i="2"/>
  <c r="M54" i="2"/>
  <c r="W15" i="2"/>
  <c r="O57" i="2" l="1"/>
  <c r="O55" i="2"/>
  <c r="O54" i="2"/>
  <c r="M60" i="2"/>
  <c r="M59" i="2"/>
  <c r="N57" i="2"/>
  <c r="N55" i="2"/>
  <c r="N54" i="2"/>
  <c r="L31" i="2"/>
  <c r="L30" i="2"/>
  <c r="L28" i="2"/>
  <c r="L27" i="2"/>
  <c r="L23" i="2"/>
  <c r="L22" i="2"/>
  <c r="L19" i="2"/>
  <c r="L85" i="2"/>
  <c r="L67" i="2"/>
  <c r="L72" i="2" s="1"/>
  <c r="L49" i="2"/>
  <c r="L48" i="2"/>
  <c r="L39" i="2"/>
  <c r="L17" i="2"/>
  <c r="O60" i="2" l="1"/>
  <c r="O59" i="2"/>
  <c r="N60" i="2"/>
  <c r="N59" i="2"/>
  <c r="L32" i="2"/>
  <c r="L88" i="2" s="1"/>
  <c r="L41" i="2"/>
  <c r="L86" i="2"/>
  <c r="J14" i="3"/>
  <c r="J13" i="3"/>
  <c r="J12" i="3"/>
  <c r="J11" i="3"/>
  <c r="J10" i="3"/>
  <c r="J9" i="3"/>
  <c r="J8" i="3"/>
  <c r="J7" i="3"/>
  <c r="J6" i="3"/>
  <c r="J5" i="3"/>
  <c r="J4" i="3"/>
  <c r="K14" i="3"/>
  <c r="K13" i="3"/>
  <c r="K12" i="3"/>
  <c r="K11" i="3"/>
  <c r="K10" i="3"/>
  <c r="K9" i="3"/>
  <c r="K8" i="3"/>
  <c r="K7" i="3"/>
  <c r="K6" i="3"/>
  <c r="K5" i="3"/>
  <c r="K4" i="3"/>
  <c r="K11" i="4"/>
  <c r="K10" i="4"/>
  <c r="K7" i="4"/>
  <c r="K6" i="4"/>
  <c r="J13" i="4"/>
  <c r="J11" i="4"/>
  <c r="J10" i="4"/>
  <c r="J7" i="4"/>
  <c r="J6" i="4"/>
  <c r="K4" i="4"/>
  <c r="J4" i="4"/>
  <c r="J53" i="2"/>
  <c r="J12" i="4"/>
  <c r="L33" i="2" l="1"/>
  <c r="L57" i="2"/>
  <c r="L13" i="3"/>
  <c r="I52" i="2"/>
  <c r="H52" i="2" s="1"/>
  <c r="H57" i="2" s="1"/>
  <c r="J5" i="4"/>
  <c r="J14" i="4"/>
  <c r="K14" i="4"/>
  <c r="L14" i="4" s="1"/>
  <c r="K31" i="2"/>
  <c r="J31" i="2"/>
  <c r="I31" i="2"/>
  <c r="H31" i="2"/>
  <c r="K30" i="2"/>
  <c r="J30" i="2"/>
  <c r="I30" i="2"/>
  <c r="H30" i="2"/>
  <c r="K13" i="4"/>
  <c r="K12" i="4"/>
  <c r="K27" i="2"/>
  <c r="K32" i="2" s="1"/>
  <c r="J27" i="2"/>
  <c r="I27" i="2"/>
  <c r="H27" i="2"/>
  <c r="K9" i="4"/>
  <c r="K23" i="2"/>
  <c r="J23" i="2"/>
  <c r="I23" i="2"/>
  <c r="H23" i="2"/>
  <c r="K8" i="4"/>
  <c r="K22" i="2"/>
  <c r="J22" i="2"/>
  <c r="I22" i="2"/>
  <c r="H22" i="2"/>
  <c r="K21" i="2"/>
  <c r="J21" i="2"/>
  <c r="I21" i="2"/>
  <c r="H21" i="2"/>
  <c r="K5" i="4"/>
  <c r="K19" i="2"/>
  <c r="J19" i="2"/>
  <c r="I19" i="2"/>
  <c r="H19" i="2"/>
  <c r="C42" i="6"/>
  <c r="C1" i="6"/>
  <c r="B42" i="5"/>
  <c r="B1" i="5"/>
  <c r="B42" i="4"/>
  <c r="B1" i="4"/>
  <c r="B42" i="3"/>
  <c r="L7" i="3"/>
  <c r="K15" i="3"/>
  <c r="J15" i="3"/>
  <c r="B1" i="3"/>
  <c r="B88" i="2"/>
  <c r="B86" i="2"/>
  <c r="V85" i="2"/>
  <c r="K85" i="2"/>
  <c r="J85" i="2"/>
  <c r="I85" i="2"/>
  <c r="H85" i="2"/>
  <c r="G85" i="2"/>
  <c r="F85" i="2"/>
  <c r="E85" i="2"/>
  <c r="D85" i="2"/>
  <c r="C85" i="2"/>
  <c r="W71" i="2"/>
  <c r="W70" i="2"/>
  <c r="W69" i="2"/>
  <c r="W68" i="2"/>
  <c r="V67" i="2"/>
  <c r="W67" i="2"/>
  <c r="K67" i="2"/>
  <c r="K72" i="2" s="1"/>
  <c r="J67" i="2"/>
  <c r="J72" i="2" s="1"/>
  <c r="I67" i="2"/>
  <c r="I72" i="2" s="1"/>
  <c r="H67" i="2"/>
  <c r="H72" i="2" s="1"/>
  <c r="G67" i="2"/>
  <c r="G72" i="2" s="1"/>
  <c r="F67" i="2"/>
  <c r="F72" i="2" s="1"/>
  <c r="E67" i="2"/>
  <c r="E72" i="2" s="1"/>
  <c r="D67" i="2"/>
  <c r="D72" i="2" s="1"/>
  <c r="C67" i="2"/>
  <c r="C72" i="2" s="1"/>
  <c r="J58" i="2"/>
  <c r="I58" i="2"/>
  <c r="H58" i="2"/>
  <c r="G58" i="2"/>
  <c r="G60" i="2" s="1"/>
  <c r="F58" i="2"/>
  <c r="F60" i="2" s="1"/>
  <c r="E58" i="2"/>
  <c r="E60" i="2" s="1"/>
  <c r="D58" i="2"/>
  <c r="D60" i="2" s="1"/>
  <c r="C58" i="2"/>
  <c r="C60" i="2" s="1"/>
  <c r="V57" i="2"/>
  <c r="K57" i="2"/>
  <c r="J57" i="2"/>
  <c r="C57" i="2"/>
  <c r="J55" i="2"/>
  <c r="G55" i="2"/>
  <c r="F55" i="2"/>
  <c r="E55" i="2"/>
  <c r="D55" i="2"/>
  <c r="C55" i="2"/>
  <c r="J54" i="2"/>
  <c r="D52" i="2"/>
  <c r="D57" i="2" s="1"/>
  <c r="G51" i="2"/>
  <c r="F51" i="2" s="1"/>
  <c r="E51" i="2" s="1"/>
  <c r="D51" i="2" s="1"/>
  <c r="C51" i="2" s="1"/>
  <c r="V49" i="2"/>
  <c r="K49" i="2"/>
  <c r="J49" i="2"/>
  <c r="I49" i="2"/>
  <c r="H49" i="2"/>
  <c r="G49" i="2"/>
  <c r="F49" i="2"/>
  <c r="E49" i="2"/>
  <c r="D49" i="2"/>
  <c r="C49" i="2"/>
  <c r="V48" i="2"/>
  <c r="X48" i="2" s="1"/>
  <c r="W48" i="2"/>
  <c r="K48" i="2"/>
  <c r="J48" i="2"/>
  <c r="I48" i="2"/>
  <c r="H48" i="2"/>
  <c r="G48" i="2"/>
  <c r="F48" i="2"/>
  <c r="E48" i="2"/>
  <c r="D48" i="2"/>
  <c r="C48" i="2"/>
  <c r="X41" i="2"/>
  <c r="W41" i="2"/>
  <c r="K41" i="2"/>
  <c r="J41" i="2"/>
  <c r="I41" i="2"/>
  <c r="H41" i="2"/>
  <c r="G41" i="2"/>
  <c r="F41" i="2"/>
  <c r="E41" i="2"/>
  <c r="D41" i="2"/>
  <c r="C41" i="2"/>
  <c r="V39" i="2"/>
  <c r="X39" i="2" s="1"/>
  <c r="W39" i="2"/>
  <c r="K39" i="2"/>
  <c r="J39" i="2"/>
  <c r="I39" i="2"/>
  <c r="H39" i="2"/>
  <c r="G39" i="2"/>
  <c r="F39" i="2"/>
  <c r="E39" i="2"/>
  <c r="D39" i="2"/>
  <c r="C39" i="2"/>
  <c r="W38" i="2"/>
  <c r="W37" i="2"/>
  <c r="W36" i="2"/>
  <c r="G32" i="2"/>
  <c r="G88" i="2" s="1"/>
  <c r="F32" i="2"/>
  <c r="F88" i="2" s="1"/>
  <c r="E32" i="2"/>
  <c r="E88" i="2" s="1"/>
  <c r="D32" i="2"/>
  <c r="D88" i="2" s="1"/>
  <c r="C32" i="2"/>
  <c r="C88" i="2" s="1"/>
  <c r="W31" i="2"/>
  <c r="W30" i="2"/>
  <c r="W29" i="2"/>
  <c r="W28" i="2"/>
  <c r="W27" i="2"/>
  <c r="W26" i="2"/>
  <c r="W25" i="2"/>
  <c r="W24" i="2"/>
  <c r="W23" i="2"/>
  <c r="W22" i="2"/>
  <c r="W21" i="2"/>
  <c r="W20" i="2"/>
  <c r="W19" i="2"/>
  <c r="V17" i="2"/>
  <c r="X18" i="2" s="1"/>
  <c r="K5" i="5"/>
  <c r="K17" i="2"/>
  <c r="K86" i="2" s="1"/>
  <c r="J17" i="2"/>
  <c r="J86" i="2" s="1"/>
  <c r="I17" i="2"/>
  <c r="I86" i="2" s="1"/>
  <c r="H17" i="2"/>
  <c r="H86" i="2" s="1"/>
  <c r="G17" i="2"/>
  <c r="F17" i="2"/>
  <c r="F33" i="2" s="1"/>
  <c r="E17" i="2"/>
  <c r="E33" i="2" s="1"/>
  <c r="D17" i="2"/>
  <c r="D33" i="2" s="1"/>
  <c r="C17" i="2"/>
  <c r="W16" i="2"/>
  <c r="W14" i="2"/>
  <c r="W13" i="2"/>
  <c r="W12" i="2"/>
  <c r="W11" i="2"/>
  <c r="W10" i="2"/>
  <c r="W9" i="2"/>
  <c r="W8" i="2"/>
  <c r="W7" i="2"/>
  <c r="X2" i="2"/>
  <c r="W2" i="2"/>
  <c r="I32" i="2" l="1"/>
  <c r="H54" i="2"/>
  <c r="H55" i="2"/>
  <c r="H32" i="2"/>
  <c r="H88" i="2" s="1"/>
  <c r="I54" i="2"/>
  <c r="I55" i="2"/>
  <c r="D59" i="2"/>
  <c r="X67" i="2"/>
  <c r="V72" i="2"/>
  <c r="X72" i="2" s="1"/>
  <c r="X17" i="2"/>
  <c r="J5" i="5"/>
  <c r="L5" i="5" s="1"/>
  <c r="I57" i="2"/>
  <c r="I60" i="2" s="1"/>
  <c r="D86" i="2"/>
  <c r="K12" i="5"/>
  <c r="J8" i="4"/>
  <c r="L8" i="4" s="1"/>
  <c r="E86" i="2"/>
  <c r="V86" i="2"/>
  <c r="K88" i="2"/>
  <c r="J32" i="2"/>
  <c r="J88" i="2" s="1"/>
  <c r="J59" i="2"/>
  <c r="F86" i="2"/>
  <c r="C33" i="2"/>
  <c r="G33" i="2"/>
  <c r="C86" i="2"/>
  <c r="G86" i="2"/>
  <c r="J12" i="5"/>
  <c r="I88" i="2"/>
  <c r="H59" i="2"/>
  <c r="K15" i="4"/>
  <c r="L7" i="4"/>
  <c r="L9" i="3"/>
  <c r="L10" i="3"/>
  <c r="L12" i="3"/>
  <c r="H60" i="2"/>
  <c r="J60" i="2"/>
  <c r="I33" i="2"/>
  <c r="K33" i="2"/>
  <c r="K6" i="5"/>
  <c r="L11" i="4"/>
  <c r="L13" i="4"/>
  <c r="L6" i="3"/>
  <c r="L6" i="4"/>
  <c r="L8" i="3"/>
  <c r="L11" i="3"/>
  <c r="L14" i="3"/>
  <c r="L10" i="4"/>
  <c r="L12" i="4"/>
  <c r="L15" i="3"/>
  <c r="E52" i="2"/>
  <c r="C59" i="2"/>
  <c r="W72" i="2"/>
  <c r="L5" i="3"/>
  <c r="L5" i="4"/>
  <c r="W17" i="2"/>
  <c r="I59" i="2" l="1"/>
  <c r="H33" i="2"/>
  <c r="J33" i="2"/>
  <c r="L12" i="5"/>
  <c r="J9" i="4"/>
  <c r="V32" i="2"/>
  <c r="W32" i="2"/>
  <c r="K7" i="5"/>
  <c r="F52" i="2"/>
  <c r="E57" i="2"/>
  <c r="E59" i="2" s="1"/>
  <c r="X32" i="2" l="1"/>
  <c r="J6" i="5"/>
  <c r="L6" i="5" s="1"/>
  <c r="L9" i="4"/>
  <c r="J15" i="4"/>
  <c r="L15" i="4" s="1"/>
  <c r="V88" i="2"/>
  <c r="V33" i="2"/>
  <c r="W33" i="2"/>
  <c r="F57" i="2"/>
  <c r="F59" i="2" s="1"/>
  <c r="G52" i="2"/>
  <c r="G57" i="2" s="1"/>
  <c r="G59" i="2" s="1"/>
  <c r="X33" i="2" l="1"/>
  <c r="J7" i="5"/>
  <c r="L7" i="5" s="1"/>
  <c r="V55" i="2"/>
  <c r="V58" i="2"/>
  <c r="V60" i="2" s="1"/>
  <c r="AD52" i="2"/>
  <c r="AF53" i="2" s="1"/>
  <c r="V54" i="2"/>
  <c r="X54" i="2" s="1"/>
  <c r="K54" i="2" l="1"/>
  <c r="K58" i="2"/>
  <c r="K55" i="2"/>
  <c r="V59" i="2"/>
  <c r="X59" i="2" s="1"/>
  <c r="K60" i="2" l="1"/>
  <c r="K59" i="2"/>
  <c r="L58" i="2"/>
  <c r="L60" i="2" l="1"/>
  <c r="L59" i="2"/>
  <c r="W54" i="2"/>
  <c r="W59" i="2" l="1"/>
  <c r="P45" i="2" l="1"/>
  <c r="O45" i="2" s="1"/>
  <c r="N45" i="2" s="1"/>
  <c r="M45" i="2" s="1"/>
  <c r="L45" i="2" s="1"/>
  <c r="K45" i="2" s="1"/>
  <c r="J45" i="2" s="1"/>
  <c r="I45" i="2" s="1"/>
  <c r="H45" i="2" s="1"/>
  <c r="G45" i="2" s="1"/>
  <c r="F45" i="2" s="1"/>
  <c r="E45" i="2" s="1"/>
  <c r="D45" i="2" s="1"/>
  <c r="C45" i="2" s="1"/>
</calcChain>
</file>

<file path=xl/sharedStrings.xml><?xml version="1.0" encoding="utf-8"?>
<sst xmlns="http://schemas.openxmlformats.org/spreadsheetml/2006/main" count="160" uniqueCount="127">
  <si>
    <t>Local Contributions</t>
  </si>
  <si>
    <t>Interest &amp; Rent</t>
  </si>
  <si>
    <t>Total Long Term Debt (excl. pension &amp; RHC)</t>
  </si>
  <si>
    <t>Total Revenue</t>
  </si>
  <si>
    <t>Total Expenditures</t>
  </si>
  <si>
    <t>Unfunded (Overfunded)</t>
  </si>
  <si>
    <t>3. Percent Funded (Compared to Prior Year)</t>
  </si>
  <si>
    <t>1. How Have We Managed Our Governmental Resources (Fund Balance)?</t>
  </si>
  <si>
    <t>Extraordinary/Special Items</t>
  </si>
  <si>
    <t xml:space="preserve">   Total Expenditures</t>
  </si>
  <si>
    <t>Graph data, pulled from above data:</t>
  </si>
  <si>
    <t>Capital Leases</t>
  </si>
  <si>
    <t>Fund Balance by Component:</t>
  </si>
  <si>
    <t>Extraordinary/ Special items</t>
  </si>
  <si>
    <t>Total Fund Balance</t>
  </si>
  <si>
    <t>Expenditures</t>
  </si>
  <si>
    <t>OTHER LONG TERM OBLIGATIONS</t>
  </si>
  <si>
    <t>Revenue:</t>
  </si>
  <si>
    <t>Population information</t>
  </si>
  <si>
    <t>4. Long-Term Debt Obligations</t>
  </si>
  <si>
    <t>From Federal Gov</t>
  </si>
  <si>
    <t>Fines &amp; Forfeitures</t>
  </si>
  <si>
    <t>1. Our Sources of Revenue (all governmental funds)</t>
  </si>
  <si>
    <t>Date Input Page</t>
  </si>
  <si>
    <t>2. Retiree Health Care Funding Status</t>
  </si>
  <si>
    <t>Contact information:</t>
  </si>
  <si>
    <t>Debt Service</t>
  </si>
  <si>
    <t>3. Revenue sources Per Capita (Compared to the Prior Year)</t>
  </si>
  <si>
    <t>Capital Outlay</t>
  </si>
  <si>
    <t>Date of Actuarial Valuation:</t>
  </si>
  <si>
    <t>Recreation &amp; Culture</t>
  </si>
  <si>
    <t>Pensions</t>
  </si>
  <si>
    <t xml:space="preserve">   Total Fund Balance</t>
  </si>
  <si>
    <t>Health &amp; Welfare</t>
  </si>
  <si>
    <t xml:space="preserve">4. Historical Trends of Each Source </t>
  </si>
  <si>
    <t>Uninsured Losses</t>
  </si>
  <si>
    <t>Other Public Safety</t>
  </si>
  <si>
    <t>Net Interfund Transfers</t>
  </si>
  <si>
    <t>Sum of All Pension &amp; OPEB Plans</t>
  </si>
  <si>
    <t>4. Historical Trends of Individual Departments</t>
  </si>
  <si>
    <t>CITIZENS' GUIDE TO LOCAL UNIT FINANCES - Saline - Washtenaw</t>
  </si>
  <si>
    <t xml:space="preserve">Total </t>
  </si>
  <si>
    <t>Bonds &amp; Contracts Payable</t>
  </si>
  <si>
    <t>General Government</t>
  </si>
  <si>
    <t>% Change</t>
  </si>
  <si>
    <t>Other Claims &amp; Contingencies</t>
  </si>
  <si>
    <t>Structured Debt</t>
  </si>
  <si>
    <t>Employee Compensated Absences</t>
  </si>
  <si>
    <t>1. Where We Spend Our Money (all governmental funds)</t>
  </si>
  <si>
    <t>Liabilities not counted on a modified-accrual basis:</t>
  </si>
  <si>
    <t>Landfill Closure &amp; Postclosure Care</t>
  </si>
  <si>
    <t>Other Revenue</t>
  </si>
  <si>
    <t>OPEB</t>
  </si>
  <si>
    <t>3. Fund Balance Per Capita (Compared to the Prior Year)</t>
  </si>
  <si>
    <t>Stmt. Of Rev &amp; Exp - All governmental funds</t>
  </si>
  <si>
    <t>Unfunded</t>
  </si>
  <si>
    <t>1. Pension Funding Status</t>
  </si>
  <si>
    <t>Debt:</t>
  </si>
  <si>
    <t xml:space="preserve">4. Historical Trends of Individual Components </t>
  </si>
  <si>
    <t>Charges for Services</t>
  </si>
  <si>
    <t>Assets</t>
  </si>
  <si>
    <t>Police &amp; Fire</t>
  </si>
  <si>
    <t xml:space="preserve">2. Compared to the Prior Year </t>
  </si>
  <si>
    <t>Surplus (shortfall)</t>
  </si>
  <si>
    <t>EXPENDITURES</t>
  </si>
  <si>
    <t>Licenses &amp; Permits</t>
  </si>
  <si>
    <t>Other Public Works</t>
  </si>
  <si>
    <t>Debt service</t>
  </si>
  <si>
    <t>REVENUES</t>
  </si>
  <si>
    <t>Per Capita Information</t>
  </si>
  <si>
    <t>Percent Funded</t>
  </si>
  <si>
    <t>Expendtiures:</t>
  </si>
  <si>
    <t>Actuarial Liability</t>
  </si>
  <si>
    <t>Other Contractual Debt</t>
  </si>
  <si>
    <t>Revenue</t>
  </si>
  <si>
    <t>From State Gov</t>
  </si>
  <si>
    <t>Unallocated Fringes &amp; Insurance</t>
  </si>
  <si>
    <t>Date of actuarial valuation:</t>
  </si>
  <si>
    <t xml:space="preserve">FINANCIAL POSITION </t>
  </si>
  <si>
    <t>Financial position - All governmental funds</t>
  </si>
  <si>
    <t>3. Spending Per Capita (Compared to the Prior Year)</t>
  </si>
  <si>
    <t xml:space="preserve">Roads </t>
  </si>
  <si>
    <t>Taxes</t>
  </si>
  <si>
    <t>Bond Proceeds</t>
  </si>
  <si>
    <t>Streets</t>
  </si>
  <si>
    <t>Use population from 'Benchmark' worksheet in Budget folders</t>
  </si>
  <si>
    <t>&lt;--- Choose Source of Revenue</t>
  </si>
  <si>
    <t>&lt;--- Choose Department</t>
  </si>
  <si>
    <t>% change in Liability Dec 2007 (2008) - Dec 2010 (2011):</t>
  </si>
  <si>
    <t>annual % change:</t>
  </si>
  <si>
    <t>5. Debt &amp; Other Long-Term Obligations Per Capita (Compared to Prior Year)</t>
  </si>
  <si>
    <t xml:space="preserve">For more information on our unit's finances, contact Joanne McDonough at (734) 429-4907. </t>
  </si>
  <si>
    <t>Calculated - Unrestricted Fund Balance</t>
  </si>
  <si>
    <t>Restricted</t>
  </si>
  <si>
    <t>Committed/Assigned</t>
  </si>
  <si>
    <t>Unassigned Fund Balance</t>
  </si>
  <si>
    <t xml:space="preserve">   Committed/Assigned</t>
  </si>
  <si>
    <t xml:space="preserve">   Unassigned</t>
  </si>
  <si>
    <t xml:space="preserve">   Resricted</t>
  </si>
  <si>
    <t>For Expenditures use amounts in TAB: F-65 Cross-walk, plus Notes below for specific lines</t>
  </si>
  <si>
    <t>(estimate usually comes from Population Estimate report on SEMCOG website but there isn't one for July 2017 as of 11/9/17)</t>
  </si>
  <si>
    <t>Community &amp; Econ Development</t>
  </si>
  <si>
    <t>CAFR pg 58 "Public Works" line for Major &amp; Local Street columns minus "Streets/Hwys" additions on F/A report for F-65</t>
  </si>
  <si>
    <t>N/A</t>
  </si>
  <si>
    <t>CAFR Note 7 (pg 34): LT Debt (Gov't Activities only; don't use W&amp;S debt</t>
  </si>
  <si>
    <t>CAFR pg 11 line 1d</t>
  </si>
  <si>
    <t>CAFR pg 11 line 5d + 6d</t>
  </si>
  <si>
    <t>CAFR pg 11 line 2d</t>
  </si>
  <si>
    <t>CAFR pg 11 line 8d</t>
  </si>
  <si>
    <t>CAFR pg 11 line 3d</t>
  </si>
  <si>
    <t>CAFR pg 11 line 4d</t>
  </si>
  <si>
    <t>CAFR pg 11 line 7d</t>
  </si>
  <si>
    <t>CAFR pg 11 line 9d + 10d</t>
  </si>
  <si>
    <t>Building Dept (#101-371) expenses per financials (s/b same amount deducted from Gen Gov't above)</t>
  </si>
  <si>
    <t>CAFR pg 11 line 12d + 13d minus Bldg Insp (101-371-XXX) expenses, minus "Gen'l Gov't" &amp; "Legislative" F/A additions on F/A report for F-65</t>
  </si>
  <si>
    <t>CAFR pg 11 line 14d minus "Police" additions on F/A report for F-65</t>
  </si>
  <si>
    <t>CAFR pg 11 line 15d + 17d, minus Major &amp; Local Street totals on "Public Works" line from CAFR pg 58, minus "Public Works" additions on F/A report for F-65</t>
  </si>
  <si>
    <t>CAFR pg 11 line 16d, minus "Health/Welfare" additions on F/A report for F-65</t>
  </si>
  <si>
    <t>CAFR pg 11 line 18d, minus "Rec &amp; Culture" additions on F/A report for F-65 (DO NOT DEDUCT "REC COMPLEX: Parks &amp; Rec" additions on F/A report for F-65 from this line)</t>
  </si>
  <si>
    <t>CAFR pg 11 line 19d, plus the F/A additions deducted from lines above</t>
  </si>
  <si>
    <t>CAFR pg 11 line 20d</t>
  </si>
  <si>
    <t>CAFR pg 46</t>
  </si>
  <si>
    <t>CAFR pg 51 (or MERS end of calendar year report)</t>
  </si>
  <si>
    <t>CAFR pg 53</t>
  </si>
  <si>
    <t>CAFR Note 7 (pg 32): LT Debt Ending Balances (Gov't Activities only; don't use W&amp;S "Business Type" debt</t>
  </si>
  <si>
    <t>FY20 data HAS been updated</t>
  </si>
  <si>
    <t>CAFR pg 11 line ##d (N/A for FY20; would be shown below Total Ependitures under Other Financing Sources (Uses) 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</si>
</sst>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s>
  <fonts count="25" x14ac:knownFonts="1">
    <font>
      <sz val="11"/>
      <color rgb="FF000000"/>
      <name val="Calibri"/>
      <family val="2"/>
    </font>
    <font>
      <sz val="10"/>
      <name val="Arial"/>
      <family val="2"/>
    </font>
    <font>
      <b/>
      <sz val="11"/>
      <color rgb="FF000000"/>
      <name val="Calibri"/>
      <family val="2"/>
    </font>
    <font>
      <u val="singleAccounting"/>
      <sz val="11"/>
      <color rgb="FF000000"/>
      <name val="Calibri"/>
      <family val="2"/>
    </font>
    <font>
      <b/>
      <u/>
      <sz val="11"/>
      <color rgb="FF000000"/>
      <name val="Calibri"/>
      <family val="2"/>
    </font>
    <font>
      <b/>
      <u val="singleAccounting"/>
      <sz val="11"/>
      <color rgb="FF000000"/>
      <name val="Calibri"/>
      <family val="2"/>
    </font>
    <font>
      <b/>
      <sz val="11"/>
      <color rgb="FF0070C0"/>
      <name val="Calibri"/>
      <family val="2"/>
    </font>
    <font>
      <sz val="11"/>
      <color rgb="FFFFFFFF" tint="-0.249977111117893"/>
      <name val="Calibri"/>
      <family val="2"/>
    </font>
    <font>
      <sz val="11"/>
      <name val="Calibri"/>
      <family val="2"/>
    </font>
    <font>
      <i/>
      <sz val="11"/>
      <color rgb="FF000000"/>
      <name val="Calibri"/>
      <family val="2"/>
    </font>
    <font>
      <b/>
      <u/>
      <sz val="12"/>
      <color rgb="FF000000"/>
      <name val="Calibri"/>
      <family val="2"/>
    </font>
    <font>
      <sz val="12"/>
      <color rgb="FF000000"/>
      <name val="Calibri"/>
      <family val="2"/>
    </font>
    <font>
      <b/>
      <u val="singleAccounting"/>
      <sz val="12"/>
      <color rgb="FF000000"/>
      <name val="Calibri"/>
      <family val="2"/>
    </font>
    <font>
      <b/>
      <sz val="12"/>
      <color rgb="FF000000"/>
      <name val="Calibri"/>
      <family val="2"/>
    </font>
    <font>
      <sz val="11"/>
      <color rgb="FF000000"/>
      <name val="Calibri"/>
      <family val="2"/>
    </font>
    <font>
      <i/>
      <sz val="11"/>
      <color indexed="8"/>
      <name val="Calibri"/>
      <family val="2"/>
    </font>
    <font>
      <sz val="10.5"/>
      <color rgb="FF000000"/>
      <name val="Calibri"/>
      <family val="2"/>
    </font>
    <font>
      <b/>
      <sz val="10"/>
      <color rgb="FF000000"/>
      <name val="Calibri"/>
      <family val="2"/>
    </font>
    <font>
      <sz val="13"/>
      <color rgb="FF000000"/>
      <name val="Calibri"/>
      <family val="2"/>
    </font>
    <font>
      <i/>
      <sz val="8"/>
      <color rgb="FFFF0000"/>
      <name val="Calibri"/>
      <family val="2"/>
    </font>
    <font>
      <b/>
      <i/>
      <sz val="11"/>
      <color rgb="FF000000"/>
      <name val="Calibri"/>
      <family val="2"/>
    </font>
    <font>
      <i/>
      <sz val="10"/>
      <color rgb="FF000000"/>
      <name val="Calibri"/>
      <family val="2"/>
    </font>
    <font>
      <sz val="9"/>
      <color rgb="FF000000"/>
      <name val="Calibri"/>
      <family val="2"/>
    </font>
    <font>
      <i/>
      <strike/>
      <sz val="11"/>
      <color theme="1"/>
      <name val="Calibri"/>
      <family val="2"/>
    </font>
    <font>
      <b/>
      <strike/>
      <u/>
      <sz val="11"/>
      <color rgb="FF000000"/>
      <name val="Calibri"/>
      <family val="2"/>
    </font>
  </fonts>
  <fills count="7">
    <fill>
      <patternFill patternType="none"/>
    </fill>
    <fill>
      <patternFill patternType="gray125"/>
    </fill>
    <fill>
      <patternFill patternType="solid">
        <fgColor rgb="FFFFFFFF" tint="-0.249977111117893"/>
        <bgColor indexed="64"/>
      </patternFill>
    </fill>
    <fill>
      <patternFill patternType="solid">
        <fgColor rgb="FFF79646" tint="0.7899716177861873"/>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FF66"/>
        <bgColor indexed="64"/>
      </patternFill>
    </fill>
  </fills>
  <borders count="26">
    <border>
      <left/>
      <right/>
      <top/>
      <bottom/>
      <diagonal/>
    </border>
    <border>
      <left/>
      <right/>
      <top/>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rgb="FF4F81BD" tint="-0.249977111117893"/>
      </left>
      <right/>
      <top/>
      <bottom/>
      <diagonal/>
    </border>
    <border>
      <left/>
      <right style="thin">
        <color rgb="FF4F81BD" tint="-0.249977111117893"/>
      </right>
      <top/>
      <bottom/>
      <diagonal/>
    </border>
    <border>
      <left style="thin">
        <color rgb="FF4F81BD" tint="-0.249977111117893"/>
      </left>
      <right/>
      <top/>
      <bottom style="thin">
        <color rgb="FF4F81BD" tint="-0.249977111117893"/>
      </bottom>
      <diagonal/>
    </border>
    <border>
      <left/>
      <right/>
      <top/>
      <bottom style="thin">
        <color rgb="FF4F81BD" tint="-0.249977111117893"/>
      </bottom>
      <diagonal/>
    </border>
    <border>
      <left/>
      <right style="thin">
        <color rgb="FF4F81BD" tint="-0.249977111117893"/>
      </right>
      <top/>
      <bottom style="thin">
        <color rgb="FF4F81BD" tint="-0.249977111117893"/>
      </bottom>
      <diagonal/>
    </border>
    <border>
      <left style="thin">
        <color rgb="FF1F497D"/>
      </left>
      <right/>
      <top style="thin">
        <color rgb="FF1F497D"/>
      </top>
      <bottom/>
      <diagonal/>
    </border>
    <border>
      <left/>
      <right/>
      <top style="thin">
        <color rgb="FF1F497D"/>
      </top>
      <bottom/>
      <diagonal/>
    </border>
    <border>
      <left style="thin">
        <color rgb="FF1F497D"/>
      </left>
      <right/>
      <top/>
      <bottom/>
      <diagonal/>
    </border>
    <border>
      <left/>
      <right style="thin">
        <color rgb="FF1F497D"/>
      </right>
      <top/>
      <bottom/>
      <diagonal/>
    </border>
    <border>
      <left style="thin">
        <color rgb="FF1F497D"/>
      </left>
      <right/>
      <top/>
      <bottom style="thin">
        <color rgb="FF1F497D"/>
      </bottom>
      <diagonal/>
    </border>
    <border>
      <left/>
      <right/>
      <top/>
      <bottom style="thin">
        <color rgb="FF1F497D"/>
      </bottom>
      <diagonal/>
    </border>
    <border>
      <left/>
      <right style="thin">
        <color rgb="FF1F497D"/>
      </right>
      <top/>
      <bottom style="thin">
        <color rgb="FF1F497D"/>
      </bottom>
      <diagonal/>
    </border>
    <border>
      <left/>
      <right style="thin">
        <color rgb="FF1F497D"/>
      </right>
      <top style="thin">
        <color rgb="FF1F497D"/>
      </top>
      <bottom/>
      <diagonal/>
    </border>
    <border>
      <left/>
      <right style="thin">
        <color rgb="FF1F497D"/>
      </right>
      <top/>
      <bottom style="thin">
        <color indexed="64"/>
      </bottom>
      <diagonal/>
    </border>
    <border>
      <left/>
      <right style="thin">
        <color rgb="FF1F497D"/>
      </right>
      <top style="thin">
        <color rgb="FFFFFFFF" tint="-0.14999847407452621"/>
      </top>
      <bottom/>
      <diagonal/>
    </border>
    <border>
      <left/>
      <right/>
      <top/>
      <bottom style="double">
        <color indexed="64"/>
      </bottom>
      <diagonal/>
    </border>
    <border>
      <left/>
      <right style="thin">
        <color rgb="FF1F497D"/>
      </right>
      <top/>
      <bottom style="double">
        <color indexed="64"/>
      </bottom>
      <diagonal/>
    </border>
    <border>
      <left style="thin">
        <color rgb="FF4F81BD" tint="-0.249977111117893"/>
      </left>
      <right/>
      <top style="thin">
        <color rgb="FF4F81BD" tint="-0.249977111117893"/>
      </top>
      <bottom/>
      <diagonal/>
    </border>
    <border>
      <left/>
      <right/>
      <top style="thin">
        <color rgb="FF4F81BD" tint="-0.249977111117893"/>
      </top>
      <bottom/>
      <diagonal/>
    </border>
    <border>
      <left/>
      <right style="thin">
        <color rgb="FF1F497D"/>
      </right>
      <top style="thin">
        <color indexed="64"/>
      </top>
      <bottom style="double">
        <color indexed="64"/>
      </bottom>
      <diagonal/>
    </border>
  </borders>
  <cellStyleXfs count="6">
    <xf numFmtId="41" fontId="0" fillId="0" borderId="1">
      <alignment vertical="center"/>
    </xf>
    <xf numFmtId="9" fontId="14" fillId="0" borderId="1">
      <alignment vertical="center"/>
    </xf>
    <xf numFmtId="44" fontId="14" fillId="0" borderId="1">
      <alignment vertical="center"/>
    </xf>
    <xf numFmtId="42" fontId="1" fillId="0" borderId="0">
      <alignment vertical="center"/>
    </xf>
    <xf numFmtId="43" fontId="1" fillId="0" borderId="0">
      <alignment vertical="center"/>
    </xf>
    <xf numFmtId="41" fontId="1" fillId="0" borderId="0">
      <alignment vertical="center"/>
    </xf>
  </cellStyleXfs>
  <cellXfs count="143">
    <xf numFmtId="41" fontId="0" fillId="0" borderId="1" xfId="0" applyNumberFormat="1" applyFont="1" applyBorder="1" applyAlignment="1">
      <alignment vertical="center"/>
    </xf>
    <xf numFmtId="41" fontId="11" fillId="5" borderId="5" xfId="0" applyNumberFormat="1" applyFont="1" applyFill="1" applyBorder="1" applyAlignment="1">
      <alignment vertical="center"/>
    </xf>
    <xf numFmtId="41" fontId="11" fillId="5" borderId="5" xfId="0" applyNumberFormat="1" applyFont="1" applyFill="1" applyBorder="1" applyAlignment="1">
      <alignment horizontal="center" vertical="center" wrapText="1"/>
    </xf>
    <xf numFmtId="41" fontId="11" fillId="0" borderId="13" xfId="0" applyNumberFormat="1" applyFont="1" applyFill="1" applyBorder="1" applyAlignment="1" applyProtection="1">
      <alignment horizontal="left" vertical="center"/>
      <protection locked="0"/>
    </xf>
    <xf numFmtId="41" fontId="11" fillId="0" borderId="1" xfId="0" applyNumberFormat="1" applyFont="1" applyFill="1" applyBorder="1" applyAlignment="1" applyProtection="1">
      <alignment horizontal="left" vertical="center"/>
      <protection locked="0"/>
    </xf>
    <xf numFmtId="41" fontId="11" fillId="0" borderId="1" xfId="0" applyNumberFormat="1" applyFont="1" applyFill="1" applyBorder="1" applyAlignment="1">
      <alignment vertical="center"/>
    </xf>
    <xf numFmtId="41" fontId="11" fillId="0" borderId="1" xfId="0" applyNumberFormat="1" applyFont="1" applyFill="1" applyBorder="1" applyAlignment="1">
      <alignment horizontal="center" vertical="center" wrapText="1"/>
    </xf>
    <xf numFmtId="42" fontId="13" fillId="0" borderId="3" xfId="0" applyNumberFormat="1" applyFont="1" applyFill="1" applyBorder="1" applyAlignment="1">
      <alignment vertical="center"/>
    </xf>
    <xf numFmtId="41" fontId="13" fillId="0" borderId="13" xfId="0" applyNumberFormat="1" applyFont="1" applyFill="1" applyBorder="1" applyAlignment="1">
      <alignment horizontal="left" vertical="center" indent="2"/>
    </xf>
    <xf numFmtId="41" fontId="10" fillId="0" borderId="1" xfId="0" applyNumberFormat="1" applyFont="1" applyFill="1" applyBorder="1" applyAlignment="1">
      <alignment horizontal="left" vertical="center"/>
    </xf>
    <xf numFmtId="41" fontId="5" fillId="0" borderId="1" xfId="0" applyNumberFormat="1" applyFont="1" applyFill="1" applyBorder="1" applyAlignment="1">
      <alignment horizontal="right" vertical="center"/>
    </xf>
    <xf numFmtId="41" fontId="0" fillId="0" borderId="1" xfId="0" applyNumberFormat="1" applyFont="1" applyFill="1" applyBorder="1" applyAlignment="1">
      <alignment vertical="center"/>
    </xf>
    <xf numFmtId="41" fontId="4" fillId="0" borderId="1" xfId="0" applyNumberFormat="1" applyFont="1" applyFill="1" applyBorder="1" applyAlignment="1">
      <alignment horizontal="left" vertical="center"/>
    </xf>
    <xf numFmtId="41" fontId="0" fillId="0" borderId="1" xfId="0" applyNumberFormat="1" applyFont="1" applyFill="1" applyBorder="1" applyAlignment="1">
      <alignment horizontal="right" vertical="center"/>
    </xf>
    <xf numFmtId="41" fontId="0" fillId="0" borderId="8" xfId="0" applyNumberFormat="1" applyFont="1" applyFill="1" applyBorder="1" applyAlignment="1">
      <alignment vertical="center"/>
    </xf>
    <xf numFmtId="41" fontId="0" fillId="0" borderId="15" xfId="0" applyNumberFormat="1" applyFont="1" applyFill="1" applyBorder="1" applyAlignment="1">
      <alignment vertical="center"/>
    </xf>
    <xf numFmtId="41" fontId="0" fillId="0" borderId="16" xfId="0" applyNumberFormat="1" applyFont="1" applyFill="1" applyBorder="1" applyAlignment="1">
      <alignment vertical="center"/>
    </xf>
    <xf numFmtId="41" fontId="0" fillId="0" borderId="13" xfId="0" applyNumberFormat="1" applyFont="1" applyFill="1" applyBorder="1" applyAlignment="1">
      <alignment vertical="center"/>
    </xf>
    <xf numFmtId="41" fontId="0" fillId="0" borderId="14" xfId="0" applyNumberFormat="1" applyFont="1" applyFill="1" applyBorder="1" applyAlignment="1">
      <alignment vertical="center"/>
    </xf>
    <xf numFmtId="41" fontId="0" fillId="0" borderId="17" xfId="0" applyNumberFormat="1" applyFont="1" applyFill="1" applyBorder="1" applyAlignment="1">
      <alignment vertical="center"/>
    </xf>
    <xf numFmtId="41" fontId="0" fillId="5" borderId="6" xfId="0" applyNumberFormat="1" applyFont="1" applyFill="1" applyBorder="1" applyAlignment="1">
      <alignment vertical="center"/>
    </xf>
    <xf numFmtId="41" fontId="0" fillId="5" borderId="1" xfId="0" applyNumberFormat="1" applyFont="1" applyFill="1" applyBorder="1" applyAlignment="1">
      <alignment vertical="center"/>
    </xf>
    <xf numFmtId="41" fontId="0" fillId="5" borderId="7" xfId="0" applyNumberFormat="1" applyFont="1" applyFill="1" applyBorder="1" applyAlignment="1">
      <alignment vertical="center"/>
    </xf>
    <xf numFmtId="41" fontId="0" fillId="5" borderId="8" xfId="0" applyNumberFormat="1" applyFont="1" applyFill="1" applyBorder="1" applyAlignment="1">
      <alignment vertical="center"/>
    </xf>
    <xf numFmtId="41" fontId="0" fillId="5" borderId="9" xfId="0" applyNumberFormat="1" applyFont="1" applyFill="1" applyBorder="1" applyAlignment="1">
      <alignment vertical="center"/>
    </xf>
    <xf numFmtId="41" fontId="0" fillId="5" borderId="10" xfId="0" applyNumberFormat="1" applyFont="1" applyFill="1" applyBorder="1" applyAlignment="1">
      <alignment vertical="center"/>
    </xf>
    <xf numFmtId="41" fontId="11" fillId="5" borderId="13" xfId="0" applyNumberFormat="1" applyFont="1" applyFill="1" applyBorder="1" applyAlignment="1">
      <alignment vertical="center"/>
    </xf>
    <xf numFmtId="41" fontId="11" fillId="5" borderId="1" xfId="0" applyNumberFormat="1" applyFont="1" applyFill="1" applyBorder="1" applyAlignment="1">
      <alignment vertical="center"/>
    </xf>
    <xf numFmtId="0" fontId="12" fillId="5" borderId="1" xfId="0" applyNumberFormat="1" applyFont="1" applyFill="1" applyBorder="1" applyAlignment="1">
      <alignment horizontal="center" vertical="center" wrapText="1"/>
    </xf>
    <xf numFmtId="0" fontId="12" fillId="5" borderId="14" xfId="0" applyNumberFormat="1" applyFont="1" applyFill="1" applyBorder="1" applyAlignment="1">
      <alignment horizontal="center" vertical="center" wrapText="1"/>
    </xf>
    <xf numFmtId="41" fontId="11" fillId="5" borderId="1" xfId="0" applyNumberFormat="1" applyFont="1" applyFill="1" applyBorder="1" applyAlignment="1">
      <alignment horizontal="center" vertical="center" wrapText="1"/>
    </xf>
    <xf numFmtId="41" fontId="11" fillId="5" borderId="14" xfId="0" applyNumberFormat="1" applyFont="1" applyFill="1" applyBorder="1" applyAlignment="1">
      <alignment vertical="center"/>
    </xf>
    <xf numFmtId="41" fontId="0" fillId="5" borderId="13" xfId="0" applyNumberFormat="1" applyFont="1" applyFill="1" applyBorder="1" applyAlignment="1">
      <alignment vertical="center"/>
    </xf>
    <xf numFmtId="41" fontId="0" fillId="5" borderId="14" xfId="0" applyNumberFormat="1" applyFont="1" applyFill="1" applyBorder="1" applyAlignment="1">
      <alignment vertical="center"/>
    </xf>
    <xf numFmtId="41" fontId="0" fillId="5" borderId="15" xfId="0" applyNumberFormat="1" applyFont="1" applyFill="1" applyBorder="1" applyAlignment="1">
      <alignment vertical="center"/>
    </xf>
    <xf numFmtId="41" fontId="0" fillId="5" borderId="16" xfId="0" applyNumberFormat="1" applyFont="1" applyFill="1" applyBorder="1" applyAlignment="1">
      <alignment vertical="center"/>
    </xf>
    <xf numFmtId="41" fontId="0" fillId="5" borderId="17" xfId="0" applyNumberFormat="1" applyFont="1" applyFill="1" applyBorder="1" applyAlignment="1">
      <alignment vertical="center"/>
    </xf>
    <xf numFmtId="41" fontId="0" fillId="5" borderId="12" xfId="0" applyNumberFormat="1" applyFont="1" applyFill="1" applyBorder="1" applyAlignment="1">
      <alignment vertical="center"/>
    </xf>
    <xf numFmtId="41" fontId="0" fillId="5" borderId="18" xfId="0" applyNumberFormat="1" applyFont="1" applyFill="1" applyBorder="1" applyAlignment="1">
      <alignment vertical="center"/>
    </xf>
    <xf numFmtId="41" fontId="16" fillId="0" borderId="13" xfId="0" applyNumberFormat="1" applyFont="1" applyFill="1" applyBorder="1" applyAlignment="1">
      <alignment horizontal="left" vertical="center"/>
    </xf>
    <xf numFmtId="41" fontId="0" fillId="0" borderId="1" xfId="0" applyNumberFormat="1" applyFont="1" applyFill="1" applyBorder="1" applyAlignment="1">
      <alignment horizontal="left" vertical="center"/>
    </xf>
    <xf numFmtId="164" fontId="0" fillId="0" borderId="1" xfId="2" applyNumberFormat="1" applyFont="1" applyFill="1" applyBorder="1" applyAlignment="1">
      <alignment vertical="center"/>
    </xf>
    <xf numFmtId="42" fontId="0" fillId="0" borderId="3" xfId="0" applyNumberFormat="1" applyFont="1" applyFill="1" applyBorder="1" applyAlignment="1">
      <alignment vertical="center"/>
    </xf>
    <xf numFmtId="0" fontId="5" fillId="5" borderId="1" xfId="0" applyNumberFormat="1" applyFont="1" applyFill="1" applyBorder="1" applyAlignment="1">
      <alignment horizontal="center" vertical="center" wrapText="1"/>
    </xf>
    <xf numFmtId="41" fontId="16" fillId="5" borderId="13" xfId="0" applyNumberFormat="1" applyFont="1" applyFill="1" applyBorder="1" applyAlignment="1">
      <alignment horizontal="left" vertical="center"/>
    </xf>
    <xf numFmtId="41" fontId="0" fillId="5" borderId="1" xfId="0" applyNumberFormat="1" applyFont="1" applyFill="1" applyBorder="1" applyAlignment="1">
      <alignment horizontal="left" vertical="center"/>
    </xf>
    <xf numFmtId="41" fontId="16" fillId="5" borderId="13" xfId="0" applyNumberFormat="1" applyFont="1" applyFill="1" applyBorder="1" applyAlignment="1">
      <alignment vertical="center"/>
    </xf>
    <xf numFmtId="41" fontId="0" fillId="0" borderId="5" xfId="0" applyNumberFormat="1" applyFont="1" applyFill="1" applyBorder="1" applyAlignment="1">
      <alignment vertical="center"/>
    </xf>
    <xf numFmtId="41" fontId="0" fillId="0" borderId="21" xfId="0" applyNumberFormat="1" applyFont="1" applyFill="1" applyBorder="1" applyAlignment="1">
      <alignment vertical="center"/>
    </xf>
    <xf numFmtId="41" fontId="0" fillId="0" borderId="3" xfId="0" applyNumberFormat="1" applyFont="1" applyFill="1" applyBorder="1" applyAlignment="1">
      <alignment vertical="center"/>
    </xf>
    <xf numFmtId="41" fontId="2" fillId="5" borderId="11" xfId="0" applyNumberFormat="1" applyFont="1" applyFill="1" applyBorder="1" applyAlignment="1">
      <alignment horizontal="left" vertical="center"/>
    </xf>
    <xf numFmtId="41" fontId="2" fillId="5" borderId="11" xfId="0" applyNumberFormat="1" applyFont="1" applyFill="1" applyBorder="1" applyAlignment="1">
      <alignment vertical="center"/>
    </xf>
    <xf numFmtId="0" fontId="4" fillId="5" borderId="14" xfId="0" applyNumberFormat="1" applyFont="1" applyFill="1" applyBorder="1" applyAlignment="1">
      <alignment horizontal="center" vertical="center" wrapText="1"/>
    </xf>
    <xf numFmtId="41" fontId="0" fillId="5" borderId="20" xfId="0" applyNumberFormat="1" applyFont="1" applyFill="1" applyBorder="1" applyAlignment="1">
      <alignment vertical="center"/>
    </xf>
    <xf numFmtId="41" fontId="18" fillId="0" borderId="1" xfId="0" applyNumberFormat="1" applyFont="1" applyFill="1" applyBorder="1" applyAlignment="1">
      <alignment horizontal="right" vertical="center"/>
    </xf>
    <xf numFmtId="41" fontId="0" fillId="5" borderId="12" xfId="0" applyNumberFormat="1" applyFont="1" applyFill="1" applyBorder="1" applyAlignment="1">
      <alignment horizontal="left" vertical="center"/>
    </xf>
    <xf numFmtId="41" fontId="0" fillId="5" borderId="18" xfId="0" applyNumberFormat="1" applyFont="1" applyFill="1" applyBorder="1" applyAlignment="1">
      <alignment horizontal="left" vertical="center"/>
    </xf>
    <xf numFmtId="165" fontId="11" fillId="0" borderId="14" xfId="1" applyNumberFormat="1" applyFont="1" applyFill="1" applyBorder="1" applyAlignment="1">
      <alignment vertical="center"/>
    </xf>
    <xf numFmtId="165" fontId="11" fillId="5" borderId="14" xfId="1" applyNumberFormat="1" applyFont="1" applyFill="1" applyBorder="1" applyAlignment="1">
      <alignment vertical="center"/>
    </xf>
    <xf numFmtId="165" fontId="11" fillId="0" borderId="14" xfId="0" applyNumberFormat="1" applyFont="1" applyFill="1" applyBorder="1" applyAlignment="1">
      <alignment horizontal="right" vertical="center"/>
    </xf>
    <xf numFmtId="165" fontId="11" fillId="5" borderId="19" xfId="1" applyNumberFormat="1" applyFont="1" applyFill="1" applyBorder="1" applyAlignment="1">
      <alignment horizontal="right" vertical="center"/>
    </xf>
    <xf numFmtId="165" fontId="11" fillId="0" borderId="22" xfId="1" applyNumberFormat="1" applyFont="1" applyFill="1" applyBorder="1" applyAlignment="1">
      <alignment vertical="center"/>
    </xf>
    <xf numFmtId="165" fontId="0" fillId="0" borderId="14" xfId="1" applyNumberFormat="1" applyFont="1" applyFill="1" applyBorder="1" applyAlignment="1">
      <alignment horizontal="right" vertical="center"/>
    </xf>
    <xf numFmtId="165" fontId="0" fillId="5" borderId="14" xfId="1" applyNumberFormat="1" applyFont="1" applyFill="1" applyBorder="1" applyAlignment="1">
      <alignment horizontal="right" vertical="center"/>
    </xf>
    <xf numFmtId="165" fontId="0" fillId="5" borderId="19" xfId="1" applyNumberFormat="1" applyFont="1" applyFill="1" applyBorder="1" applyAlignment="1">
      <alignment horizontal="right" vertical="center"/>
    </xf>
    <xf numFmtId="165" fontId="0" fillId="0" borderId="22" xfId="1" applyNumberFormat="1" applyFont="1" applyFill="1" applyBorder="1" applyAlignment="1">
      <alignment horizontal="right" vertical="center"/>
    </xf>
    <xf numFmtId="165" fontId="0" fillId="0" borderId="14" xfId="1" applyNumberFormat="1" applyFont="1" applyFill="1" applyBorder="1" applyAlignment="1">
      <alignment vertical="center"/>
    </xf>
    <xf numFmtId="165" fontId="0" fillId="0" borderId="25" xfId="1" applyNumberFormat="1" applyFont="1" applyFill="1" applyBorder="1" applyAlignment="1">
      <alignment vertical="center"/>
    </xf>
    <xf numFmtId="41" fontId="0" fillId="0" borderId="1" xfId="0" applyNumberFormat="1" applyFont="1" applyFill="1" applyBorder="1" applyAlignment="1">
      <alignment horizontal="left" vertical="center"/>
    </xf>
    <xf numFmtId="41" fontId="4" fillId="0" borderId="1" xfId="0" applyNumberFormat="1" applyFont="1" applyBorder="1" applyAlignment="1" applyProtection="1">
      <alignment horizontal="left" vertical="center"/>
    </xf>
    <xf numFmtId="0" fontId="3" fillId="0" borderId="1" xfId="0" applyNumberFormat="1" applyFont="1" applyBorder="1" applyAlignment="1" applyProtection="1">
      <alignment horizontal="center" vertical="center" wrapText="1"/>
    </xf>
    <xf numFmtId="41" fontId="4" fillId="0" borderId="1" xfId="0" applyNumberFormat="1" applyFont="1" applyBorder="1" applyAlignment="1" applyProtection="1">
      <alignment vertical="center"/>
    </xf>
    <xf numFmtId="41" fontId="0" fillId="0" borderId="1" xfId="0" applyNumberFormat="1" applyFont="1" applyBorder="1" applyAlignment="1" applyProtection="1">
      <alignment vertical="center"/>
    </xf>
    <xf numFmtId="5" fontId="7" fillId="0" borderId="1" xfId="0" applyNumberFormat="1" applyFont="1" applyBorder="1" applyAlignment="1" applyProtection="1">
      <alignment horizontal="center" vertical="center"/>
    </xf>
    <xf numFmtId="5" fontId="8" fillId="0" borderId="1" xfId="0" applyNumberFormat="1" applyFont="1" applyBorder="1" applyAlignment="1" applyProtection="1">
      <alignment horizontal="center" vertical="center"/>
    </xf>
    <xf numFmtId="41" fontId="2" fillId="0" borderId="1" xfId="0" applyNumberFormat="1" applyFont="1" applyBorder="1" applyAlignment="1" applyProtection="1">
      <alignment vertical="center"/>
    </xf>
    <xf numFmtId="41" fontId="9" fillId="0" borderId="1" xfId="0" applyNumberFormat="1" applyFont="1" applyBorder="1" applyAlignment="1" applyProtection="1">
      <alignment horizontal="right" vertical="center"/>
    </xf>
    <xf numFmtId="41" fontId="0" fillId="3" borderId="1" xfId="0" applyNumberFormat="1" applyFont="1" applyFill="1" applyBorder="1" applyAlignment="1" applyProtection="1">
      <alignment vertical="center"/>
    </xf>
    <xf numFmtId="41" fontId="0" fillId="0" borderId="1" xfId="0" applyNumberFormat="1" applyBorder="1" applyAlignment="1" applyProtection="1">
      <alignment vertical="center"/>
    </xf>
    <xf numFmtId="41" fontId="0" fillId="0" borderId="1" xfId="0" applyNumberFormat="1" applyFont="1" applyBorder="1" applyAlignment="1" applyProtection="1">
      <alignment horizontal="left" vertical="center" indent="2"/>
    </xf>
    <xf numFmtId="41" fontId="0" fillId="0" borderId="2" xfId="0" applyNumberFormat="1" applyFont="1" applyBorder="1" applyAlignment="1" applyProtection="1">
      <alignment vertical="center"/>
    </xf>
    <xf numFmtId="41" fontId="0" fillId="4" borderId="1" xfId="0" applyFill="1" applyAlignment="1" applyProtection="1"/>
    <xf numFmtId="41" fontId="0" fillId="0" borderId="3" xfId="0" applyNumberFormat="1" applyFont="1" applyBorder="1" applyAlignment="1" applyProtection="1">
      <alignment vertical="center"/>
    </xf>
    <xf numFmtId="41" fontId="0" fillId="0" borderId="1" xfId="1" applyNumberFormat="1" applyFont="1" applyBorder="1" applyAlignment="1" applyProtection="1">
      <alignment vertical="center"/>
    </xf>
    <xf numFmtId="41" fontId="0" fillId="0" borderId="1" xfId="0" applyNumberFormat="1" applyFont="1" applyBorder="1" applyAlignment="1" applyProtection="1">
      <alignment horizontal="left" vertical="center" indent="1"/>
    </xf>
    <xf numFmtId="41" fontId="0" fillId="0" borderId="3" xfId="1" applyNumberFormat="1" applyFont="1" applyBorder="1" applyAlignment="1" applyProtection="1">
      <alignment vertical="center"/>
    </xf>
    <xf numFmtId="0" fontId="5" fillId="0" borderId="1" xfId="0" applyNumberFormat="1" applyFont="1" applyBorder="1" applyAlignment="1" applyProtection="1">
      <alignment horizontal="center" vertical="center" wrapText="1"/>
    </xf>
    <xf numFmtId="41" fontId="3" fillId="0" borderId="1" xfId="0" applyNumberFormat="1" applyFont="1" applyBorder="1" applyAlignment="1" applyProtection="1">
      <alignment horizontal="centerContinuous" vertical="center"/>
    </xf>
    <xf numFmtId="14" fontId="3" fillId="0" borderId="1" xfId="0" applyNumberFormat="1" applyFont="1" applyBorder="1" applyAlignment="1" applyProtection="1">
      <alignment horizontal="center" vertical="center" wrapText="1"/>
    </xf>
    <xf numFmtId="14" fontId="3" fillId="3" borderId="1" xfId="0" applyNumberFormat="1" applyFont="1" applyFill="1" applyBorder="1" applyAlignment="1" applyProtection="1">
      <alignment horizontal="center" vertical="center" wrapText="1"/>
    </xf>
    <xf numFmtId="41" fontId="0" fillId="0" borderId="1" xfId="0" applyNumberFormat="1" applyFont="1" applyBorder="1" applyAlignment="1" applyProtection="1">
      <alignment horizontal="left" vertical="center"/>
    </xf>
    <xf numFmtId="9" fontId="0" fillId="0" borderId="1" xfId="1" applyNumberFormat="1" applyFont="1" applyBorder="1" applyAlignment="1" applyProtection="1">
      <alignment vertical="center"/>
    </xf>
    <xf numFmtId="9" fontId="0" fillId="0" borderId="1" xfId="0" applyNumberFormat="1" applyFont="1" applyBorder="1" applyAlignment="1" applyProtection="1">
      <alignment vertical="center"/>
    </xf>
    <xf numFmtId="41" fontId="19" fillId="0" borderId="1" xfId="0" quotePrefix="1" applyNumberFormat="1" applyFont="1" applyBorder="1" applyAlignment="1" applyProtection="1">
      <alignment vertical="center"/>
    </xf>
    <xf numFmtId="41" fontId="0" fillId="3" borderId="5" xfId="0" applyNumberFormat="1" applyFont="1" applyFill="1" applyBorder="1" applyAlignment="1" applyProtection="1">
      <alignment vertical="center"/>
    </xf>
    <xf numFmtId="41" fontId="0" fillId="0" borderId="1" xfId="0" applyNumberFormat="1" applyFont="1" applyBorder="1" applyAlignment="1" applyProtection="1">
      <alignment horizontal="left" vertical="center" indent="3"/>
    </xf>
    <xf numFmtId="41" fontId="0" fillId="0" borderId="4" xfId="0" applyNumberFormat="1" applyFont="1" applyBorder="1" applyAlignment="1" applyProtection="1">
      <alignment vertical="center"/>
    </xf>
    <xf numFmtId="41" fontId="0" fillId="3" borderId="1" xfId="0" applyNumberFormat="1" applyFill="1" applyBorder="1" applyAlignment="1" applyProtection="1">
      <alignment vertical="center"/>
    </xf>
    <xf numFmtId="41" fontId="0" fillId="2" borderId="1" xfId="0" applyNumberFormat="1" applyFont="1" applyFill="1" applyBorder="1" applyAlignment="1" applyProtection="1">
      <alignment vertical="center"/>
    </xf>
    <xf numFmtId="0" fontId="3" fillId="2" borderId="1" xfId="0" applyNumberFormat="1" applyFont="1" applyFill="1" applyBorder="1" applyAlignment="1" applyProtection="1">
      <alignment horizontal="center" vertical="center" wrapText="1"/>
    </xf>
    <xf numFmtId="42" fontId="0" fillId="5" borderId="1" xfId="0" applyNumberFormat="1" applyFont="1" applyFill="1" applyBorder="1" applyAlignment="1">
      <alignment vertical="center"/>
    </xf>
    <xf numFmtId="0" fontId="5" fillId="5" borderId="1" xfId="0" applyNumberFormat="1" applyFont="1" applyFill="1" applyBorder="1" applyAlignment="1">
      <alignment horizontal="center" vertical="top" wrapText="1"/>
    </xf>
    <xf numFmtId="0" fontId="5" fillId="5" borderId="14" xfId="0" applyNumberFormat="1" applyFont="1" applyFill="1" applyBorder="1" applyAlignment="1">
      <alignment horizontal="center" vertical="top" wrapText="1"/>
    </xf>
    <xf numFmtId="165" fontId="0" fillId="0" borderId="1" xfId="1" applyNumberFormat="1" applyFont="1" applyBorder="1" applyAlignment="1" applyProtection="1">
      <alignment vertical="center"/>
    </xf>
    <xf numFmtId="41" fontId="0" fillId="0" borderId="1" xfId="0" applyNumberFormat="1" applyFont="1" applyFill="1" applyBorder="1" applyAlignment="1" applyProtection="1">
      <alignment vertical="center"/>
    </xf>
    <xf numFmtId="41" fontId="0" fillId="4" borderId="1" xfId="0" applyNumberFormat="1" applyFont="1" applyFill="1" applyBorder="1" applyAlignment="1" applyProtection="1">
      <alignment vertical="center"/>
    </xf>
    <xf numFmtId="0" fontId="3" fillId="6" borderId="1" xfId="0" applyNumberFormat="1" applyFont="1" applyFill="1" applyBorder="1" applyAlignment="1" applyProtection="1">
      <alignment horizontal="center" vertical="center" wrapText="1"/>
    </xf>
    <xf numFmtId="165" fontId="22" fillId="0" borderId="1" xfId="0" applyNumberFormat="1" applyFont="1" applyBorder="1" applyAlignment="1" applyProtection="1">
      <alignment vertical="center"/>
    </xf>
    <xf numFmtId="41" fontId="22" fillId="0" borderId="1" xfId="0" applyNumberFormat="1" applyFont="1" applyBorder="1" applyAlignment="1" applyProtection="1">
      <alignment vertical="center"/>
    </xf>
    <xf numFmtId="10" fontId="0" fillId="0" borderId="1" xfId="1" applyNumberFormat="1" applyFont="1" applyBorder="1" applyAlignment="1" applyProtection="1">
      <alignment vertical="center"/>
    </xf>
    <xf numFmtId="41" fontId="0" fillId="0" borderId="1" xfId="0" applyNumberFormat="1" applyFont="1" applyBorder="1" applyAlignment="1" applyProtection="1">
      <alignment horizontal="right" vertical="center"/>
    </xf>
    <xf numFmtId="41" fontId="6" fillId="0" borderId="1" xfId="0" applyNumberFormat="1" applyFont="1" applyBorder="1" applyAlignment="1" applyProtection="1">
      <alignment vertical="center"/>
    </xf>
    <xf numFmtId="0" fontId="3" fillId="3" borderId="1" xfId="0" applyNumberFormat="1" applyFont="1" applyFill="1" applyBorder="1" applyAlignment="1" applyProtection="1">
      <alignment horizontal="center" vertical="center" wrapText="1"/>
    </xf>
    <xf numFmtId="0" fontId="2" fillId="6" borderId="1" xfId="0" applyNumberFormat="1" applyFont="1" applyFill="1" applyBorder="1" applyAlignment="1" applyProtection="1">
      <alignment horizontal="left" vertical="center"/>
    </xf>
    <xf numFmtId="0" fontId="5" fillId="6" borderId="1" xfId="0" applyNumberFormat="1" applyFont="1" applyFill="1" applyBorder="1" applyAlignment="1" applyProtection="1">
      <alignment horizontal="center" vertical="center" wrapText="1"/>
    </xf>
    <xf numFmtId="41" fontId="9" fillId="0" borderId="1" xfId="0" applyNumberFormat="1" applyFont="1" applyBorder="1" applyAlignment="1" applyProtection="1">
      <alignment vertical="center"/>
    </xf>
    <xf numFmtId="0" fontId="24" fillId="0" borderId="1" xfId="0" applyNumberFormat="1" applyFont="1" applyBorder="1" applyAlignment="1" applyProtection="1">
      <alignment vertical="center"/>
    </xf>
    <xf numFmtId="41" fontId="15" fillId="0" borderId="1" xfId="0" applyFont="1" applyAlignment="1" applyProtection="1"/>
    <xf numFmtId="41" fontId="20" fillId="0" borderId="1" xfId="0" applyNumberFormat="1" applyFont="1" applyBorder="1" applyAlignment="1" applyProtection="1">
      <alignment vertical="center"/>
    </xf>
    <xf numFmtId="41" fontId="9" fillId="0" borderId="1" xfId="0" quotePrefix="1" applyNumberFormat="1" applyFont="1" applyBorder="1" applyAlignment="1" applyProtection="1">
      <alignment vertical="center"/>
    </xf>
    <xf numFmtId="41" fontId="21" fillId="0" borderId="1" xfId="0" applyNumberFormat="1" applyFont="1" applyBorder="1" applyAlignment="1" applyProtection="1">
      <alignment vertical="center"/>
    </xf>
    <xf numFmtId="165" fontId="0" fillId="0" borderId="1" xfId="0" applyNumberFormat="1" applyBorder="1" applyAlignment="1" applyProtection="1">
      <alignment vertical="center"/>
    </xf>
    <xf numFmtId="41" fontId="23" fillId="0" borderId="1" xfId="0" applyNumberFormat="1" applyFont="1" applyBorder="1" applyAlignment="1" applyProtection="1">
      <alignment vertical="center"/>
    </xf>
    <xf numFmtId="41" fontId="9" fillId="0" borderId="1" xfId="0" applyNumberFormat="1" applyFont="1" applyBorder="1" applyAlignment="1" applyProtection="1">
      <alignment vertical="top"/>
    </xf>
    <xf numFmtId="41" fontId="3" fillId="0" borderId="1" xfId="0" applyNumberFormat="1" applyFont="1" applyBorder="1" applyAlignment="1" applyProtection="1">
      <alignment vertical="center"/>
    </xf>
    <xf numFmtId="41" fontId="2" fillId="5" borderId="23" xfId="0" applyNumberFormat="1" applyFont="1" applyFill="1" applyBorder="1" applyAlignment="1">
      <alignment horizontal="left" vertical="center"/>
    </xf>
    <xf numFmtId="41" fontId="2" fillId="5" borderId="24" xfId="0" applyNumberFormat="1" applyFont="1" applyFill="1" applyBorder="1" applyAlignment="1">
      <alignment horizontal="left" vertical="center"/>
    </xf>
    <xf numFmtId="41" fontId="11" fillId="0" borderId="13" xfId="0" applyNumberFormat="1" applyFont="1" applyFill="1" applyBorder="1" applyAlignment="1" applyProtection="1">
      <alignment horizontal="left" vertical="center"/>
      <protection locked="0"/>
    </xf>
    <xf numFmtId="41" fontId="11" fillId="0" borderId="1" xfId="0" applyNumberFormat="1" applyFont="1" applyFill="1" applyBorder="1" applyAlignment="1" applyProtection="1">
      <alignment horizontal="left" vertical="center"/>
      <protection locked="0"/>
    </xf>
    <xf numFmtId="41" fontId="11" fillId="5" borderId="13" xfId="0" applyNumberFormat="1" applyFont="1" applyFill="1" applyBorder="1" applyAlignment="1" applyProtection="1">
      <alignment horizontal="left" vertical="center"/>
      <protection locked="0"/>
    </xf>
    <xf numFmtId="41" fontId="11" fillId="5" borderId="1" xfId="0" applyNumberFormat="1" applyFont="1" applyFill="1" applyBorder="1" applyAlignment="1" applyProtection="1">
      <alignment horizontal="left" vertical="center"/>
      <protection locked="0"/>
    </xf>
    <xf numFmtId="41" fontId="17" fillId="5" borderId="1" xfId="0" applyNumberFormat="1" applyFont="1" applyFill="1" applyBorder="1" applyAlignment="1">
      <alignment horizontal="center" vertical="center"/>
    </xf>
    <xf numFmtId="41" fontId="17" fillId="5" borderId="14" xfId="0" applyNumberFormat="1" applyFont="1" applyFill="1" applyBorder="1" applyAlignment="1">
      <alignment horizontal="center" vertical="center"/>
    </xf>
    <xf numFmtId="41" fontId="2" fillId="5" borderId="11" xfId="0" applyNumberFormat="1" applyFont="1" applyFill="1" applyBorder="1" applyAlignment="1">
      <alignment horizontal="left" vertical="center"/>
    </xf>
    <xf numFmtId="41" fontId="2" fillId="5" borderId="12" xfId="0" applyNumberFormat="1" applyFont="1" applyFill="1" applyBorder="1" applyAlignment="1">
      <alignment horizontal="left" vertical="center"/>
    </xf>
    <xf numFmtId="41" fontId="17" fillId="5" borderId="1" xfId="0" applyNumberFormat="1" applyFont="1" applyFill="1" applyBorder="1" applyAlignment="1">
      <alignment horizontal="left"/>
    </xf>
    <xf numFmtId="41" fontId="17" fillId="5" borderId="14" xfId="0" applyNumberFormat="1" applyFont="1" applyFill="1" applyBorder="1" applyAlignment="1">
      <alignment horizontal="left"/>
    </xf>
    <xf numFmtId="41" fontId="2" fillId="5" borderId="18" xfId="0" applyNumberFormat="1" applyFont="1" applyFill="1" applyBorder="1" applyAlignment="1">
      <alignment horizontal="left" vertical="center"/>
    </xf>
    <xf numFmtId="41" fontId="17" fillId="5" borderId="11" xfId="0" applyNumberFormat="1" applyFont="1" applyFill="1" applyBorder="1" applyAlignment="1">
      <alignment horizontal="left" vertical="center"/>
    </xf>
    <xf numFmtId="41" fontId="17" fillId="5" borderId="12" xfId="0" applyNumberFormat="1" applyFont="1" applyFill="1" applyBorder="1" applyAlignment="1">
      <alignment horizontal="left" vertical="center"/>
    </xf>
    <xf numFmtId="41" fontId="17" fillId="5" borderId="18" xfId="0" applyNumberFormat="1" applyFont="1" applyFill="1" applyBorder="1" applyAlignment="1">
      <alignment horizontal="left" vertical="center"/>
    </xf>
    <xf numFmtId="41" fontId="0" fillId="0" borderId="13" xfId="0" applyNumberFormat="1" applyFont="1" applyFill="1" applyBorder="1" applyAlignment="1">
      <alignment horizontal="left" vertical="center"/>
    </xf>
    <xf numFmtId="41" fontId="0" fillId="0" borderId="1" xfId="0" applyNumberFormat="1" applyFont="1" applyFill="1" applyBorder="1" applyAlignment="1">
      <alignment horizontal="left" vertical="center"/>
    </xf>
  </cellXfs>
  <cellStyles count="6">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Normal" xfId="0" builtinId="0"/>
    <cellStyle name="Percent" xfId="1" xr:uid="{00000000-0005-0000-0000-000005000000}"/>
  </cellStyles>
  <dxfs count="0"/>
  <tableStyles count="0" defaultTableStyle="TableStyleMedium2" defaultPivotStyle="PivotStyleLight16"/>
  <colors>
    <mruColors>
      <color rgb="FFFFFF66"/>
      <color rgb="FFFFFBF7"/>
      <color rgb="FFFFC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5341365461847428E-2"/>
          <c:y val="0.11718676612791822"/>
          <c:w val="0.58333466148056756"/>
          <c:h val="0.79632856748169634"/>
        </c:manualLayout>
      </c:layout>
      <c:pieChart>
        <c:varyColors val="1"/>
        <c:ser>
          <c:idx val="0"/>
          <c:order val="0"/>
          <c:spPr>
            <a:ln>
              <a:solidFill>
                <a:sysClr val="windowText" lastClr="000000"/>
              </a:solidFill>
            </a:ln>
          </c:spPr>
          <c:explosion val="10"/>
          <c:cat>
            <c:strRef>
              <c:f>'Data Input'!$B$7:$B$16</c:f>
              <c:strCache>
                <c:ptCount val="10"/>
                <c:pt idx="0">
                  <c:v> Taxes </c:v>
                </c:pt>
                <c:pt idx="1">
                  <c:v> Licenses &amp; Permits </c:v>
                </c:pt>
                <c:pt idx="2">
                  <c:v> From Federal Gov </c:v>
                </c:pt>
                <c:pt idx="3">
                  <c:v> From State Gov </c:v>
                </c:pt>
                <c:pt idx="4">
                  <c:v> Local Contributions </c:v>
                </c:pt>
                <c:pt idx="5">
                  <c:v> Charges for Services </c:v>
                </c:pt>
                <c:pt idx="6">
                  <c:v> Fines &amp; Forfeitures </c:v>
                </c:pt>
                <c:pt idx="7">
                  <c:v> Interest &amp; Rent </c:v>
                </c:pt>
                <c:pt idx="8">
                  <c:v> Other Revenue </c:v>
                </c:pt>
                <c:pt idx="9">
                  <c:v> Bond Proceeds </c:v>
                </c:pt>
              </c:strCache>
            </c:strRef>
          </c:cat>
          <c:val>
            <c:numRef>
              <c:f>'Data Input'!$V$7:$V$16</c:f>
              <c:numCache>
                <c:formatCode>_(* #,##0_);_(* \(#,##0\);_(* "-"_);_(@_)</c:formatCode>
                <c:ptCount val="10"/>
                <c:pt idx="0">
                  <c:v>7793411</c:v>
                </c:pt>
                <c:pt idx="1">
                  <c:v>646937</c:v>
                </c:pt>
                <c:pt idx="2">
                  <c:v>0</c:v>
                </c:pt>
                <c:pt idx="3">
                  <c:v>2409042</c:v>
                </c:pt>
                <c:pt idx="4">
                  <c:v>14978</c:v>
                </c:pt>
                <c:pt idx="5">
                  <c:v>1899276</c:v>
                </c:pt>
                <c:pt idx="6">
                  <c:v>43874</c:v>
                </c:pt>
                <c:pt idx="7">
                  <c:v>106895</c:v>
                </c:pt>
                <c:pt idx="8">
                  <c:v>655199</c:v>
                </c:pt>
                <c:pt idx="9">
                  <c:v>0</c:v>
                </c:pt>
              </c:numCache>
            </c:numRef>
          </c:val>
          <c:extLst>
            <c:ext xmlns:c16="http://schemas.microsoft.com/office/drawing/2014/chart" uri="{C3380CC4-5D6E-409C-BE32-E72D297353CC}">
              <c16:uniqueId val="{00000000-BB2C-448A-A295-17DE114328AF}"/>
            </c:ext>
          </c:extLst>
        </c:ser>
        <c:dLbls>
          <c:showLegendKey val="0"/>
          <c:showVal val="0"/>
          <c:showCatName val="0"/>
          <c:showSerName val="0"/>
          <c:showPercent val="0"/>
          <c:showBubbleSize val="0"/>
          <c:showLeaderLines val="1"/>
        </c:dLbls>
        <c:firstSliceAng val="346"/>
      </c:pieChart>
      <c:spPr>
        <a:noFill/>
        <a:ln w="25400">
          <a:noFill/>
        </a:ln>
      </c:spPr>
    </c:plotArea>
    <c:legend>
      <c:legendPos val="r"/>
      <c:legendEntry>
        <c:idx val="0"/>
        <c:txPr>
          <a:bodyPr/>
          <a:lstStyle/>
          <a:p>
            <a:pPr>
              <a:defRPr sz="850" b="0" i="0" u="none" baseline="0">
                <a:solidFill>
                  <a:srgbClr val="000000"/>
                </a:solidFill>
                <a:latin typeface="Arial"/>
                <a:ea typeface="Arial"/>
                <a:cs typeface="Arial"/>
              </a:defRPr>
            </a:pPr>
            <a:endParaRPr lang="en-US"/>
          </a:p>
        </c:txPr>
      </c:legendEntry>
      <c:legendEntry>
        <c:idx val="1"/>
        <c:txPr>
          <a:bodyPr/>
          <a:lstStyle/>
          <a:p>
            <a:pPr>
              <a:defRPr sz="850" b="0" i="0" u="none" baseline="0">
                <a:solidFill>
                  <a:srgbClr val="000000"/>
                </a:solidFill>
                <a:latin typeface="Arial"/>
                <a:ea typeface="Arial"/>
                <a:cs typeface="Arial"/>
              </a:defRPr>
            </a:pPr>
            <a:endParaRPr lang="en-US"/>
          </a:p>
        </c:txPr>
      </c:legendEntry>
      <c:legendEntry>
        <c:idx val="2"/>
        <c:txPr>
          <a:bodyPr/>
          <a:lstStyle/>
          <a:p>
            <a:pPr>
              <a:defRPr sz="850" b="0" i="0" u="none" baseline="0">
                <a:solidFill>
                  <a:srgbClr val="000000"/>
                </a:solidFill>
                <a:latin typeface="Arial"/>
                <a:ea typeface="Arial"/>
                <a:cs typeface="Arial"/>
              </a:defRPr>
            </a:pPr>
            <a:endParaRPr lang="en-US"/>
          </a:p>
        </c:txPr>
      </c:legendEntry>
      <c:legendEntry>
        <c:idx val="3"/>
        <c:txPr>
          <a:bodyPr/>
          <a:lstStyle/>
          <a:p>
            <a:pPr>
              <a:defRPr sz="850" b="0" i="0" u="none" baseline="0">
                <a:solidFill>
                  <a:srgbClr val="000000"/>
                </a:solidFill>
                <a:latin typeface="Arial"/>
                <a:ea typeface="Arial"/>
                <a:cs typeface="Arial"/>
              </a:defRPr>
            </a:pPr>
            <a:endParaRPr lang="en-US"/>
          </a:p>
        </c:txPr>
      </c:legendEntry>
      <c:legendEntry>
        <c:idx val="4"/>
        <c:txPr>
          <a:bodyPr/>
          <a:lstStyle/>
          <a:p>
            <a:pPr>
              <a:defRPr sz="850" b="0" i="0" u="none" baseline="0">
                <a:solidFill>
                  <a:srgbClr val="000000"/>
                </a:solidFill>
                <a:latin typeface="Arial"/>
                <a:ea typeface="Arial"/>
                <a:cs typeface="Arial"/>
              </a:defRPr>
            </a:pPr>
            <a:endParaRPr lang="en-US"/>
          </a:p>
        </c:txPr>
      </c:legendEntry>
      <c:legendEntry>
        <c:idx val="5"/>
        <c:txPr>
          <a:bodyPr/>
          <a:lstStyle/>
          <a:p>
            <a:pPr>
              <a:defRPr sz="850" b="0" i="0" u="none" baseline="0">
                <a:solidFill>
                  <a:srgbClr val="000000"/>
                </a:solidFill>
                <a:latin typeface="Arial"/>
                <a:ea typeface="Arial"/>
                <a:cs typeface="Arial"/>
              </a:defRPr>
            </a:pPr>
            <a:endParaRPr lang="en-US"/>
          </a:p>
        </c:txPr>
      </c:legendEntry>
      <c:legendEntry>
        <c:idx val="6"/>
        <c:txPr>
          <a:bodyPr/>
          <a:lstStyle/>
          <a:p>
            <a:pPr>
              <a:defRPr sz="850" b="0" i="0" u="none" baseline="0">
                <a:solidFill>
                  <a:srgbClr val="000000"/>
                </a:solidFill>
                <a:latin typeface="Arial"/>
                <a:ea typeface="Arial"/>
                <a:cs typeface="Arial"/>
              </a:defRPr>
            </a:pPr>
            <a:endParaRPr lang="en-US"/>
          </a:p>
        </c:txPr>
      </c:legendEntry>
      <c:legendEntry>
        <c:idx val="7"/>
        <c:txPr>
          <a:bodyPr/>
          <a:lstStyle/>
          <a:p>
            <a:pPr>
              <a:defRPr sz="850" b="0" i="0" u="none" baseline="0">
                <a:solidFill>
                  <a:srgbClr val="000000"/>
                </a:solidFill>
                <a:latin typeface="Arial"/>
                <a:ea typeface="Arial"/>
                <a:cs typeface="Arial"/>
              </a:defRPr>
            </a:pPr>
            <a:endParaRPr lang="en-US"/>
          </a:p>
        </c:txPr>
      </c:legendEntry>
      <c:legendEntry>
        <c:idx val="8"/>
        <c:txPr>
          <a:bodyPr/>
          <a:lstStyle/>
          <a:p>
            <a:pPr>
              <a:defRPr sz="850" b="0" i="0" u="none" baseline="0">
                <a:solidFill>
                  <a:srgbClr val="000000"/>
                </a:solidFill>
                <a:latin typeface="Arial"/>
                <a:ea typeface="Arial"/>
                <a:cs typeface="Arial"/>
              </a:defRPr>
            </a:pPr>
            <a:endParaRPr lang="en-US"/>
          </a:p>
        </c:txPr>
      </c:legendEntry>
      <c:legendEntry>
        <c:idx val="9"/>
        <c:txPr>
          <a:bodyPr/>
          <a:lstStyle/>
          <a:p>
            <a:pPr>
              <a:defRPr sz="850" baseline="0">
                <a:latin typeface="Arial" pitchFamily="34" charset="0"/>
              </a:defRPr>
            </a:pPr>
            <a:endParaRPr lang="en-US"/>
          </a:p>
        </c:txPr>
      </c:legendEntry>
      <c:layout>
        <c:manualLayout>
          <c:xMode val="edge"/>
          <c:yMode val="edge"/>
          <c:x val="0.65609428025382577"/>
          <c:y val="5.0020998314941487E-2"/>
          <c:w val="0.33413654618473898"/>
          <c:h val="0.90239747784790292"/>
        </c:manualLayout>
      </c:layout>
      <c:overlay val="0"/>
      <c:txPr>
        <a:bodyPr/>
        <a:lstStyle/>
        <a:p>
          <a:pPr>
            <a:defRPr sz="850" baseline="0"/>
          </a:pPr>
          <a:endParaRPr lang="en-US"/>
        </a:p>
      </c:txPr>
    </c:legend>
    <c:plotVisOnly val="1"/>
    <c:dispBlanksAs val="gap"/>
    <c:showDLblsOverMax val="0"/>
  </c:chart>
  <c:spPr>
    <a:ln w="12700">
      <a:solidFill>
        <a:srgbClr val="000000"/>
      </a:solidFill>
      <a:prstDash val="solid"/>
    </a:ln>
  </c:spPr>
  <c:printSettings>
    <c:headerFooter/>
    <c:pageMargins b="0.75000000000000122" l="0.70000000000000062" r="0.70000000000000062" t="0.7500000000000012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00000000000033"/>
          <c:y val="6.8779368148818229E-2"/>
          <c:w val="0.78725000000000001"/>
          <c:h val="0.7162795150935336"/>
        </c:manualLayout>
      </c:layout>
      <c:lineChart>
        <c:grouping val="standard"/>
        <c:varyColors val="0"/>
        <c:ser>
          <c:idx val="0"/>
          <c:order val="0"/>
          <c:tx>
            <c:strRef>
              <c:f>'Data Input'!$B$52</c:f>
              <c:strCache>
                <c:ptCount val="1"/>
                <c:pt idx="0">
                  <c:v> Assets </c:v>
                </c:pt>
              </c:strCache>
            </c:strRef>
          </c:tx>
          <c:marker>
            <c:symbol val="none"/>
          </c:marker>
          <c:cat>
            <c:numRef>
              <c:f>'Data Input'!$H$51:$V$51</c:f>
              <c:numCache>
                <c:formatCode>m/d/yyyy</c:formatCode>
                <c:ptCount val="7"/>
                <c:pt idx="0">
                  <c:v>41820</c:v>
                </c:pt>
                <c:pt idx="1">
                  <c:v>42185</c:v>
                </c:pt>
                <c:pt idx="2">
                  <c:v>42551</c:v>
                </c:pt>
                <c:pt idx="3">
                  <c:v>42916</c:v>
                </c:pt>
                <c:pt idx="4">
                  <c:v>43281</c:v>
                </c:pt>
                <c:pt idx="5">
                  <c:v>43646</c:v>
                </c:pt>
                <c:pt idx="6">
                  <c:v>44012</c:v>
                </c:pt>
              </c:numCache>
            </c:numRef>
          </c:cat>
          <c:val>
            <c:numRef>
              <c:f>'Data Input'!$H$52:$V$52</c:f>
              <c:numCache>
                <c:formatCode>_(* #,##0_);_(* \(#,##0\);_(* "-"_);_(@_)</c:formatCode>
                <c:ptCount val="7"/>
                <c:pt idx="0">
                  <c:v>4003744.5</c:v>
                </c:pt>
                <c:pt idx="1">
                  <c:v>2548768</c:v>
                </c:pt>
                <c:pt idx="2">
                  <c:v>2938039</c:v>
                </c:pt>
                <c:pt idx="3">
                  <c:v>4424767</c:v>
                </c:pt>
                <c:pt idx="4">
                  <c:v>5162865</c:v>
                </c:pt>
                <c:pt idx="5">
                  <c:v>6052952</c:v>
                </c:pt>
                <c:pt idx="6">
                  <c:v>6575228</c:v>
                </c:pt>
              </c:numCache>
            </c:numRef>
          </c:val>
          <c:smooth val="0"/>
          <c:extLst>
            <c:ext xmlns:c16="http://schemas.microsoft.com/office/drawing/2014/chart" uri="{C3380CC4-5D6E-409C-BE32-E72D297353CC}">
              <c16:uniqueId val="{00000000-187E-4ED4-9CF7-6F00E82E1F17}"/>
            </c:ext>
          </c:extLst>
        </c:ser>
        <c:ser>
          <c:idx val="1"/>
          <c:order val="1"/>
          <c:tx>
            <c:strRef>
              <c:f>'Data Input'!$B$53</c:f>
              <c:strCache>
                <c:ptCount val="1"/>
                <c:pt idx="0">
                  <c:v> Actuarial Liability </c:v>
                </c:pt>
              </c:strCache>
            </c:strRef>
          </c:tx>
          <c:marker>
            <c:symbol val="none"/>
          </c:marker>
          <c:cat>
            <c:numRef>
              <c:f>'Data Input'!$H$51:$V$51</c:f>
              <c:numCache>
                <c:formatCode>m/d/yyyy</c:formatCode>
                <c:ptCount val="7"/>
                <c:pt idx="0">
                  <c:v>41820</c:v>
                </c:pt>
                <c:pt idx="1">
                  <c:v>42185</c:v>
                </c:pt>
                <c:pt idx="2">
                  <c:v>42551</c:v>
                </c:pt>
                <c:pt idx="3">
                  <c:v>42916</c:v>
                </c:pt>
                <c:pt idx="4">
                  <c:v>43281</c:v>
                </c:pt>
                <c:pt idx="5">
                  <c:v>43646</c:v>
                </c:pt>
                <c:pt idx="6">
                  <c:v>44012</c:v>
                </c:pt>
              </c:numCache>
            </c:numRef>
          </c:cat>
          <c:val>
            <c:numRef>
              <c:f>'Data Input'!$H$53:$V$53</c:f>
              <c:numCache>
                <c:formatCode>_(* #,##0_);_(* \(#,##0\);_(* "-"_);_(@_)</c:formatCode>
                <c:ptCount val="7"/>
                <c:pt idx="0">
                  <c:v>10124580</c:v>
                </c:pt>
                <c:pt idx="1">
                  <c:v>10878659</c:v>
                </c:pt>
                <c:pt idx="2">
                  <c:v>10789843</c:v>
                </c:pt>
                <c:pt idx="3">
                  <c:v>10317438</c:v>
                </c:pt>
                <c:pt idx="4">
                  <c:v>10844554</c:v>
                </c:pt>
                <c:pt idx="5">
                  <c:v>10481583</c:v>
                </c:pt>
                <c:pt idx="6">
                  <c:v>11426552</c:v>
                </c:pt>
              </c:numCache>
            </c:numRef>
          </c:val>
          <c:smooth val="0"/>
          <c:extLst>
            <c:ext xmlns:c16="http://schemas.microsoft.com/office/drawing/2014/chart" uri="{C3380CC4-5D6E-409C-BE32-E72D297353CC}">
              <c16:uniqueId val="{00000001-187E-4ED4-9CF7-6F00E82E1F17}"/>
            </c:ext>
          </c:extLst>
        </c:ser>
        <c:dLbls>
          <c:showLegendKey val="0"/>
          <c:showVal val="0"/>
          <c:showCatName val="0"/>
          <c:showSerName val="0"/>
          <c:showPercent val="0"/>
          <c:showBubbleSize val="0"/>
        </c:dLbls>
        <c:smooth val="0"/>
        <c:axId val="521723056"/>
        <c:axId val="521722664"/>
      </c:lineChart>
      <c:catAx>
        <c:axId val="521723056"/>
        <c:scaling>
          <c:orientation val="minMax"/>
        </c:scaling>
        <c:delete val="0"/>
        <c:axPos val="b"/>
        <c:numFmt formatCode="[$-409]mmm\-yy;@" sourceLinked="0"/>
        <c:majorTickMark val="out"/>
        <c:minorTickMark val="none"/>
        <c:tickLblPos val="nextTo"/>
        <c:txPr>
          <a:bodyPr rot="-2100000"/>
          <a:lstStyle/>
          <a:p>
            <a:pPr>
              <a:defRPr sz="850" b="0" i="0" u="none" baseline="0">
                <a:solidFill>
                  <a:srgbClr val="000000"/>
                </a:solidFill>
                <a:latin typeface="Calibri"/>
                <a:ea typeface="Calibri"/>
                <a:cs typeface="Calibri"/>
              </a:defRPr>
            </a:pPr>
            <a:endParaRPr lang="en-US"/>
          </a:p>
        </c:txPr>
        <c:crossAx val="521722664"/>
        <c:crosses val="autoZero"/>
        <c:auto val="0"/>
        <c:lblAlgn val="ctr"/>
        <c:lblOffset val="100"/>
        <c:tickLblSkip val="1"/>
        <c:tickMarkSkip val="1"/>
        <c:noMultiLvlLbl val="1"/>
      </c:catAx>
      <c:valAx>
        <c:axId val="521722664"/>
        <c:scaling>
          <c:orientation val="minMax"/>
          <c:max val="16000000"/>
        </c:scaling>
        <c:delete val="0"/>
        <c:axPos val="l"/>
        <c:majorGridlines/>
        <c:numFmt formatCode="_(* #,##0_);_(* \(#,##0\);_(* &quot;-&quot;_);_(@_)" sourceLinked="1"/>
        <c:majorTickMark val="out"/>
        <c:minorTickMark val="none"/>
        <c:tickLblPos val="nextTo"/>
        <c:txPr>
          <a:bodyPr/>
          <a:lstStyle/>
          <a:p>
            <a:pPr>
              <a:defRPr sz="900" b="0" i="0" u="none" baseline="0">
                <a:solidFill>
                  <a:srgbClr val="000000"/>
                </a:solidFill>
                <a:latin typeface="Calibri"/>
                <a:ea typeface="Calibri"/>
                <a:cs typeface="Calibri"/>
              </a:defRPr>
            </a:pPr>
            <a:endParaRPr lang="en-US"/>
          </a:p>
        </c:txPr>
        <c:crossAx val="521723056"/>
        <c:crosses val="autoZero"/>
        <c:crossBetween val="between"/>
      </c:valAx>
    </c:plotArea>
    <c:legend>
      <c:legendPos val="r"/>
      <c:layout>
        <c:manualLayout>
          <c:xMode val="edge"/>
          <c:yMode val="edge"/>
          <c:x val="0.26679688868273199"/>
          <c:y val="0.11310606281058951"/>
          <c:w val="0.64474413257913898"/>
          <c:h val="9.5606411823793827E-2"/>
        </c:manualLayout>
      </c:layout>
      <c:overlay val="0"/>
      <c:spPr>
        <a:solidFill>
          <a:schemeClr val="lt1"/>
        </a:solidFill>
        <a:ln>
          <a:solidFill>
            <a:srgbClr val="000000"/>
          </a:solidFill>
        </a:ln>
      </c:spPr>
      <c:txPr>
        <a:bodyPr/>
        <a:lstStyle/>
        <a:p>
          <a:pPr>
            <a:defRPr sz="920" b="0" i="0" u="none" baseline="0">
              <a:solidFill>
                <a:srgbClr val="000000"/>
              </a:solidFill>
              <a:latin typeface="Calibri"/>
              <a:ea typeface="Calibri"/>
              <a:cs typeface="Calibri"/>
            </a:defRPr>
          </a:pPr>
          <a:endParaRPr lang="en-US"/>
        </a:p>
      </c:txPr>
    </c:legend>
    <c:plotVisOnly val="1"/>
    <c:dispBlanksAs val="gap"/>
    <c:showDLblsOverMax val="0"/>
  </c:chart>
  <c:spPr>
    <a:ln w="3175">
      <a:solidFill>
        <a:srgbClr val="000000"/>
      </a:solidFill>
      <a:prstDash val="solid"/>
    </a:ln>
  </c:spPr>
  <c:printSettings>
    <c:headerFooter/>
    <c:pageMargins b="0.75000000000000122" l="0.70000000000000062" r="0.70000000000000062" t="0.7500000000000012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226786035307231"/>
          <c:y val="6.8714677088721782E-2"/>
          <c:w val="0.74925000000000064"/>
          <c:h val="0.72968676360710372"/>
        </c:manualLayout>
      </c:layout>
      <c:lineChart>
        <c:grouping val="standard"/>
        <c:varyColors val="0"/>
        <c:ser>
          <c:idx val="0"/>
          <c:order val="0"/>
          <c:tx>
            <c:strRef>
              <c:f>'Data Input'!$B$46</c:f>
              <c:strCache>
                <c:ptCount val="1"/>
                <c:pt idx="0">
                  <c:v> Assets </c:v>
                </c:pt>
              </c:strCache>
            </c:strRef>
          </c:tx>
          <c:marker>
            <c:symbol val="none"/>
          </c:marker>
          <c:cat>
            <c:numRef>
              <c:f>'Data Input'!$H$45:$V$45</c:f>
              <c:numCache>
                <c:formatCode>m/d/yyyy</c:formatCode>
                <c:ptCount val="7"/>
                <c:pt idx="0">
                  <c:v>41639</c:v>
                </c:pt>
                <c:pt idx="1">
                  <c:v>42004</c:v>
                </c:pt>
                <c:pt idx="2">
                  <c:v>42369</c:v>
                </c:pt>
                <c:pt idx="3">
                  <c:v>42735</c:v>
                </c:pt>
                <c:pt idx="4">
                  <c:v>43100</c:v>
                </c:pt>
                <c:pt idx="5">
                  <c:v>43465</c:v>
                </c:pt>
                <c:pt idx="6">
                  <c:v>43830</c:v>
                </c:pt>
              </c:numCache>
            </c:numRef>
          </c:cat>
          <c:val>
            <c:numRef>
              <c:f>'Data Input'!$H$46:$V$46</c:f>
              <c:numCache>
                <c:formatCode>_(* #,##0_);_(* \(#,##0\);_(* "-"_);_(@_)</c:formatCode>
                <c:ptCount val="7"/>
                <c:pt idx="0">
                  <c:v>16508296</c:v>
                </c:pt>
                <c:pt idx="1">
                  <c:v>15847968</c:v>
                </c:pt>
                <c:pt idx="2">
                  <c:v>15374358</c:v>
                </c:pt>
                <c:pt idx="3">
                  <c:v>16392976</c:v>
                </c:pt>
                <c:pt idx="4">
                  <c:v>18018202</c:v>
                </c:pt>
                <c:pt idx="5">
                  <c:v>16967126</c:v>
                </c:pt>
                <c:pt idx="6">
                  <c:v>18694643</c:v>
                </c:pt>
              </c:numCache>
            </c:numRef>
          </c:val>
          <c:smooth val="0"/>
          <c:extLst>
            <c:ext xmlns:c16="http://schemas.microsoft.com/office/drawing/2014/chart" uri="{C3380CC4-5D6E-409C-BE32-E72D297353CC}">
              <c16:uniqueId val="{00000000-B9E9-44A8-88C0-9B9BA42F1CA5}"/>
            </c:ext>
          </c:extLst>
        </c:ser>
        <c:ser>
          <c:idx val="1"/>
          <c:order val="1"/>
          <c:tx>
            <c:strRef>
              <c:f>'Data Input'!$B$47</c:f>
              <c:strCache>
                <c:ptCount val="1"/>
                <c:pt idx="0">
                  <c:v> Actuarial Liability </c:v>
                </c:pt>
              </c:strCache>
            </c:strRef>
          </c:tx>
          <c:marker>
            <c:symbol val="none"/>
          </c:marker>
          <c:cat>
            <c:numRef>
              <c:f>'Data Input'!$H$45:$V$45</c:f>
              <c:numCache>
                <c:formatCode>m/d/yyyy</c:formatCode>
                <c:ptCount val="7"/>
                <c:pt idx="0">
                  <c:v>41639</c:v>
                </c:pt>
                <c:pt idx="1">
                  <c:v>42004</c:v>
                </c:pt>
                <c:pt idx="2">
                  <c:v>42369</c:v>
                </c:pt>
                <c:pt idx="3">
                  <c:v>42735</c:v>
                </c:pt>
                <c:pt idx="4">
                  <c:v>43100</c:v>
                </c:pt>
                <c:pt idx="5">
                  <c:v>43465</c:v>
                </c:pt>
                <c:pt idx="6">
                  <c:v>43830</c:v>
                </c:pt>
              </c:numCache>
            </c:numRef>
          </c:cat>
          <c:val>
            <c:numRef>
              <c:f>'Data Input'!$H$47:$V$47</c:f>
              <c:numCache>
                <c:formatCode>_(* #,##0_);_(* \(#,##0\);_(* "-"_);_(@_)</c:formatCode>
                <c:ptCount val="7"/>
                <c:pt idx="0">
                  <c:v>22556904</c:v>
                </c:pt>
                <c:pt idx="1">
                  <c:v>23173820</c:v>
                </c:pt>
                <c:pt idx="2">
                  <c:v>25924631</c:v>
                </c:pt>
                <c:pt idx="3">
                  <c:v>26450164</c:v>
                </c:pt>
                <c:pt idx="4">
                  <c:v>27027691</c:v>
                </c:pt>
                <c:pt idx="5">
                  <c:v>28048710</c:v>
                </c:pt>
                <c:pt idx="6">
                  <c:v>29485975</c:v>
                </c:pt>
              </c:numCache>
            </c:numRef>
          </c:val>
          <c:smooth val="0"/>
          <c:extLst>
            <c:ext xmlns:c16="http://schemas.microsoft.com/office/drawing/2014/chart" uri="{C3380CC4-5D6E-409C-BE32-E72D297353CC}">
              <c16:uniqueId val="{00000001-B9E9-44A8-88C0-9B9BA42F1CA5}"/>
            </c:ext>
          </c:extLst>
        </c:ser>
        <c:dLbls>
          <c:showLegendKey val="0"/>
          <c:showVal val="0"/>
          <c:showCatName val="0"/>
          <c:showSerName val="0"/>
          <c:showPercent val="0"/>
          <c:showBubbleSize val="0"/>
        </c:dLbls>
        <c:smooth val="0"/>
        <c:axId val="521723448"/>
        <c:axId val="521720704"/>
      </c:lineChart>
      <c:catAx>
        <c:axId val="521723448"/>
        <c:scaling>
          <c:orientation val="minMax"/>
        </c:scaling>
        <c:delete val="0"/>
        <c:axPos val="b"/>
        <c:numFmt formatCode="[$-409]mmm\-yy;@" sourceLinked="0"/>
        <c:majorTickMark val="out"/>
        <c:minorTickMark val="none"/>
        <c:tickLblPos val="nextTo"/>
        <c:txPr>
          <a:bodyPr rot="-1800000"/>
          <a:lstStyle/>
          <a:p>
            <a:pPr>
              <a:defRPr sz="850" b="0" i="0" u="none" baseline="0">
                <a:solidFill>
                  <a:srgbClr val="000000"/>
                </a:solidFill>
                <a:latin typeface="Calibri" pitchFamily="34" charset="0"/>
                <a:ea typeface="Calibri"/>
                <a:cs typeface="Calibri"/>
              </a:defRPr>
            </a:pPr>
            <a:endParaRPr lang="en-US"/>
          </a:p>
        </c:txPr>
        <c:crossAx val="521720704"/>
        <c:crosses val="autoZero"/>
        <c:auto val="0"/>
        <c:lblAlgn val="ctr"/>
        <c:lblOffset val="100"/>
        <c:tickMarkSkip val="1"/>
        <c:noMultiLvlLbl val="1"/>
      </c:catAx>
      <c:valAx>
        <c:axId val="521720704"/>
        <c:scaling>
          <c:orientation val="minMax"/>
          <c:max val="35000000"/>
          <c:min val="5000000"/>
        </c:scaling>
        <c:delete val="0"/>
        <c:axPos val="l"/>
        <c:majorGridlines/>
        <c:numFmt formatCode="_(* #,##0_);_(* \(#,##0\);_(* &quot;-&quot;_);_(@_)" sourceLinked="1"/>
        <c:majorTickMark val="out"/>
        <c:minorTickMark val="none"/>
        <c:tickLblPos val="nextTo"/>
        <c:txPr>
          <a:bodyPr/>
          <a:lstStyle/>
          <a:p>
            <a:pPr>
              <a:defRPr sz="900" b="0" i="0" u="none" baseline="0">
                <a:solidFill>
                  <a:srgbClr val="000000"/>
                </a:solidFill>
                <a:latin typeface="Calibri"/>
                <a:ea typeface="Calibri"/>
                <a:cs typeface="Calibri"/>
              </a:defRPr>
            </a:pPr>
            <a:endParaRPr lang="en-US"/>
          </a:p>
        </c:txPr>
        <c:crossAx val="521723448"/>
        <c:crosses val="autoZero"/>
        <c:crossBetween val="between"/>
        <c:majorUnit val="2500000"/>
      </c:valAx>
    </c:plotArea>
    <c:legend>
      <c:legendPos val="r"/>
      <c:layout>
        <c:manualLayout>
          <c:xMode val="edge"/>
          <c:yMode val="edge"/>
          <c:x val="0.25988257378628321"/>
          <c:y val="0.63629652300529571"/>
          <c:w val="0.69041095890410997"/>
          <c:h val="7.785888077858881E-2"/>
        </c:manualLayout>
      </c:layout>
      <c:overlay val="0"/>
      <c:spPr>
        <a:solidFill>
          <a:schemeClr val="lt1"/>
        </a:solidFill>
        <a:ln>
          <a:solidFill>
            <a:schemeClr val="tx1"/>
          </a:solidFill>
        </a:ln>
      </c:spPr>
      <c:txPr>
        <a:bodyPr/>
        <a:lstStyle/>
        <a:p>
          <a:pPr>
            <a:defRPr sz="920" b="0" i="0" u="none" baseline="0">
              <a:solidFill>
                <a:srgbClr val="000000"/>
              </a:solidFill>
              <a:latin typeface="Calibri"/>
              <a:ea typeface="Calibri"/>
              <a:cs typeface="Calibri"/>
            </a:defRPr>
          </a:pPr>
          <a:endParaRPr lang="en-US"/>
        </a:p>
      </c:txPr>
    </c:legend>
    <c:plotVisOnly val="1"/>
    <c:dispBlanksAs val="gap"/>
    <c:showDLblsOverMax val="0"/>
  </c:chart>
  <c:spPr>
    <a:ln w="3175">
      <a:solidFill>
        <a:srgbClr val="000000"/>
      </a:solidFill>
      <a:prstDash val="solid"/>
    </a:ln>
  </c:spPr>
  <c:printSettings>
    <c:headerFooter/>
    <c:pageMargins b="0.75000000000000122" l="0.70000000000000062" r="0.70000000000000062" t="0.75000000000000122"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368139308391742"/>
          <c:y val="5.9697357324919285E-2"/>
          <c:w val="0.53362101937495898"/>
          <c:h val="0.82351175417152278"/>
        </c:manualLayout>
      </c:layout>
      <c:barChart>
        <c:barDir val="col"/>
        <c:grouping val="stacked"/>
        <c:varyColors val="0"/>
        <c:ser>
          <c:idx val="0"/>
          <c:order val="0"/>
          <c:tx>
            <c:strRef>
              <c:f>'Data Input'!$A$67:$B$67</c:f>
              <c:strCache>
                <c:ptCount val="2"/>
                <c:pt idx="0">
                  <c:v> Structured Debt </c:v>
                </c:pt>
              </c:strCache>
            </c:strRef>
          </c:tx>
          <c:spPr>
            <a:ln w="6350">
              <a:solidFill>
                <a:sysClr val="windowText" lastClr="000000"/>
              </a:solidFill>
            </a:ln>
          </c:spPr>
          <c:invertIfNegative val="0"/>
          <c:cat>
            <c:numRef>
              <c:f>'Data Input'!$H$2:$V$2</c:f>
              <c:numCache>
                <c:formatCode>General</c:formatCode>
                <c:ptCount val="7"/>
                <c:pt idx="0">
                  <c:v>2014</c:v>
                </c:pt>
                <c:pt idx="1">
                  <c:v>2015</c:v>
                </c:pt>
                <c:pt idx="2">
                  <c:v>2016</c:v>
                </c:pt>
                <c:pt idx="3">
                  <c:v>2017</c:v>
                </c:pt>
                <c:pt idx="4">
                  <c:v>2018</c:v>
                </c:pt>
                <c:pt idx="5">
                  <c:v>2019</c:v>
                </c:pt>
                <c:pt idx="6">
                  <c:v>2020</c:v>
                </c:pt>
              </c:numCache>
            </c:numRef>
          </c:cat>
          <c:val>
            <c:numRef>
              <c:f>'Data Input'!$H$67:$V$67</c:f>
              <c:numCache>
                <c:formatCode>_(* #,##0_);_(* \(#,##0\);_(* "-"_);_(@_)</c:formatCode>
                <c:ptCount val="7"/>
                <c:pt idx="0">
                  <c:v>10174481</c:v>
                </c:pt>
                <c:pt idx="1">
                  <c:v>9277975</c:v>
                </c:pt>
                <c:pt idx="2">
                  <c:v>8204192</c:v>
                </c:pt>
                <c:pt idx="3">
                  <c:v>7090783</c:v>
                </c:pt>
                <c:pt idx="4">
                  <c:v>7630833</c:v>
                </c:pt>
                <c:pt idx="5">
                  <c:v>6340094</c:v>
                </c:pt>
                <c:pt idx="6">
                  <c:v>5026760</c:v>
                </c:pt>
              </c:numCache>
            </c:numRef>
          </c:val>
          <c:extLst>
            <c:ext xmlns:c16="http://schemas.microsoft.com/office/drawing/2014/chart" uri="{C3380CC4-5D6E-409C-BE32-E72D297353CC}">
              <c16:uniqueId val="{00000000-B524-4499-B9F8-89FEE96CCDE5}"/>
            </c:ext>
          </c:extLst>
        </c:ser>
        <c:ser>
          <c:idx val="1"/>
          <c:order val="1"/>
          <c:tx>
            <c:strRef>
              <c:f>'Data Input'!$A$68:$B$68</c:f>
              <c:strCache>
                <c:ptCount val="2"/>
                <c:pt idx="0">
                  <c:v> Employee Compensated Absences </c:v>
                </c:pt>
              </c:strCache>
            </c:strRef>
          </c:tx>
          <c:spPr>
            <a:ln w="6350">
              <a:solidFill>
                <a:sysClr val="windowText" lastClr="000000"/>
              </a:solidFill>
            </a:ln>
          </c:spPr>
          <c:invertIfNegative val="0"/>
          <c:cat>
            <c:numRef>
              <c:f>'Data Input'!$H$2:$V$2</c:f>
              <c:numCache>
                <c:formatCode>General</c:formatCode>
                <c:ptCount val="7"/>
                <c:pt idx="0">
                  <c:v>2014</c:v>
                </c:pt>
                <c:pt idx="1">
                  <c:v>2015</c:v>
                </c:pt>
                <c:pt idx="2">
                  <c:v>2016</c:v>
                </c:pt>
                <c:pt idx="3">
                  <c:v>2017</c:v>
                </c:pt>
                <c:pt idx="4">
                  <c:v>2018</c:v>
                </c:pt>
                <c:pt idx="5">
                  <c:v>2019</c:v>
                </c:pt>
                <c:pt idx="6">
                  <c:v>2020</c:v>
                </c:pt>
              </c:numCache>
            </c:numRef>
          </c:cat>
          <c:val>
            <c:numRef>
              <c:f>'Data Input'!$H$68:$V$68</c:f>
              <c:numCache>
                <c:formatCode>_(* #,##0_);_(* \(#,##0\);_(* "-"_);_(@_)</c:formatCode>
                <c:ptCount val="7"/>
                <c:pt idx="0">
                  <c:v>1052864</c:v>
                </c:pt>
                <c:pt idx="1">
                  <c:v>1126816</c:v>
                </c:pt>
                <c:pt idx="2">
                  <c:v>1067985</c:v>
                </c:pt>
                <c:pt idx="3">
                  <c:v>1106735</c:v>
                </c:pt>
                <c:pt idx="4">
                  <c:v>1137046</c:v>
                </c:pt>
                <c:pt idx="5">
                  <c:v>1233457</c:v>
                </c:pt>
                <c:pt idx="6">
                  <c:v>1059408</c:v>
                </c:pt>
              </c:numCache>
            </c:numRef>
          </c:val>
          <c:extLst>
            <c:ext xmlns:c16="http://schemas.microsoft.com/office/drawing/2014/chart" uri="{C3380CC4-5D6E-409C-BE32-E72D297353CC}">
              <c16:uniqueId val="{00000001-B524-4499-B9F8-89FEE96CCDE5}"/>
            </c:ext>
          </c:extLst>
        </c:ser>
        <c:ser>
          <c:idx val="2"/>
          <c:order val="2"/>
          <c:tx>
            <c:strRef>
              <c:f>'Data Input'!$A$69:$B$69</c:f>
              <c:strCache>
                <c:ptCount val="2"/>
                <c:pt idx="0">
                  <c:v> Landfill Closure &amp; Postclosure Care </c:v>
                </c:pt>
              </c:strCache>
            </c:strRef>
          </c:tx>
          <c:invertIfNegative val="0"/>
          <c:cat>
            <c:numRef>
              <c:f>'Data Input'!$H$2:$V$2</c:f>
              <c:numCache>
                <c:formatCode>General</c:formatCode>
                <c:ptCount val="7"/>
                <c:pt idx="0">
                  <c:v>2014</c:v>
                </c:pt>
                <c:pt idx="1">
                  <c:v>2015</c:v>
                </c:pt>
                <c:pt idx="2">
                  <c:v>2016</c:v>
                </c:pt>
                <c:pt idx="3">
                  <c:v>2017</c:v>
                </c:pt>
                <c:pt idx="4">
                  <c:v>2018</c:v>
                </c:pt>
                <c:pt idx="5">
                  <c:v>2019</c:v>
                </c:pt>
                <c:pt idx="6">
                  <c:v>2020</c:v>
                </c:pt>
              </c:numCache>
            </c:numRef>
          </c:cat>
          <c:val>
            <c:numRef>
              <c:f>'Data Input'!$H$69:$V$69</c:f>
              <c:numCache>
                <c:formatCode>_(* #,##0_);_(* \(#,##0\);_(* "-"_);_(@_)</c:formatCode>
                <c:ptCount val="7"/>
                <c:pt idx="0">
                  <c:v>0</c:v>
                </c:pt>
                <c:pt idx="2">
                  <c:v>0</c:v>
                </c:pt>
                <c:pt idx="3">
                  <c:v>0</c:v>
                </c:pt>
                <c:pt idx="4">
                  <c:v>0</c:v>
                </c:pt>
                <c:pt idx="5">
                  <c:v>0</c:v>
                </c:pt>
                <c:pt idx="6">
                  <c:v>0</c:v>
                </c:pt>
              </c:numCache>
            </c:numRef>
          </c:val>
          <c:extLst>
            <c:ext xmlns:c16="http://schemas.microsoft.com/office/drawing/2014/chart" uri="{C3380CC4-5D6E-409C-BE32-E72D297353CC}">
              <c16:uniqueId val="{00000002-B524-4499-B9F8-89FEE96CCDE5}"/>
            </c:ext>
          </c:extLst>
        </c:ser>
        <c:ser>
          <c:idx val="3"/>
          <c:order val="3"/>
          <c:tx>
            <c:strRef>
              <c:f>'Data Input'!$A$70:$B$70</c:f>
              <c:strCache>
                <c:ptCount val="2"/>
                <c:pt idx="0">
                  <c:v> Uninsured Losses </c:v>
                </c:pt>
              </c:strCache>
            </c:strRef>
          </c:tx>
          <c:invertIfNegative val="0"/>
          <c:cat>
            <c:numRef>
              <c:f>'Data Input'!$H$2:$V$2</c:f>
              <c:numCache>
                <c:formatCode>General</c:formatCode>
                <c:ptCount val="7"/>
                <c:pt idx="0">
                  <c:v>2014</c:v>
                </c:pt>
                <c:pt idx="1">
                  <c:v>2015</c:v>
                </c:pt>
                <c:pt idx="2">
                  <c:v>2016</c:v>
                </c:pt>
                <c:pt idx="3">
                  <c:v>2017</c:v>
                </c:pt>
                <c:pt idx="4">
                  <c:v>2018</c:v>
                </c:pt>
                <c:pt idx="5">
                  <c:v>2019</c:v>
                </c:pt>
                <c:pt idx="6">
                  <c:v>2020</c:v>
                </c:pt>
              </c:numCache>
            </c:numRef>
          </c:cat>
          <c:val>
            <c:numRef>
              <c:f>'Data Input'!$H$70:$V$70</c:f>
              <c:numCache>
                <c:formatCode>_(* #,##0_);_(* \(#,##0\);_(* "-"_);_(@_)</c:formatCode>
                <c:ptCount val="7"/>
                <c:pt idx="0">
                  <c:v>0</c:v>
                </c:pt>
                <c:pt idx="2">
                  <c:v>0</c:v>
                </c:pt>
                <c:pt idx="3">
                  <c:v>0</c:v>
                </c:pt>
                <c:pt idx="4">
                  <c:v>0</c:v>
                </c:pt>
                <c:pt idx="5">
                  <c:v>0</c:v>
                </c:pt>
                <c:pt idx="6">
                  <c:v>0</c:v>
                </c:pt>
              </c:numCache>
            </c:numRef>
          </c:val>
          <c:extLst>
            <c:ext xmlns:c16="http://schemas.microsoft.com/office/drawing/2014/chart" uri="{C3380CC4-5D6E-409C-BE32-E72D297353CC}">
              <c16:uniqueId val="{00000003-B524-4499-B9F8-89FEE96CCDE5}"/>
            </c:ext>
          </c:extLst>
        </c:ser>
        <c:ser>
          <c:idx val="4"/>
          <c:order val="4"/>
          <c:tx>
            <c:strRef>
              <c:f>'Data Input'!$A$71:$B$71</c:f>
              <c:strCache>
                <c:ptCount val="2"/>
                <c:pt idx="0">
                  <c:v> Other Claims &amp; Contingencies </c:v>
                </c:pt>
              </c:strCache>
            </c:strRef>
          </c:tx>
          <c:invertIfNegative val="0"/>
          <c:cat>
            <c:numRef>
              <c:f>'Data Input'!$H$2:$V$2</c:f>
              <c:numCache>
                <c:formatCode>General</c:formatCode>
                <c:ptCount val="7"/>
                <c:pt idx="0">
                  <c:v>2014</c:v>
                </c:pt>
                <c:pt idx="1">
                  <c:v>2015</c:v>
                </c:pt>
                <c:pt idx="2">
                  <c:v>2016</c:v>
                </c:pt>
                <c:pt idx="3">
                  <c:v>2017</c:v>
                </c:pt>
                <c:pt idx="4">
                  <c:v>2018</c:v>
                </c:pt>
                <c:pt idx="5">
                  <c:v>2019</c:v>
                </c:pt>
                <c:pt idx="6">
                  <c:v>2020</c:v>
                </c:pt>
              </c:numCache>
            </c:numRef>
          </c:cat>
          <c:val>
            <c:numRef>
              <c:f>'Data Input'!$H$71:$V$71</c:f>
              <c:numCache>
                <c:formatCode>_(* #,##0_);_(* \(#,##0\);_(* "-"_);_(@_)</c:formatCode>
                <c:ptCount val="7"/>
                <c:pt idx="0">
                  <c:v>0</c:v>
                </c:pt>
                <c:pt idx="2">
                  <c:v>0</c:v>
                </c:pt>
                <c:pt idx="3">
                  <c:v>0</c:v>
                </c:pt>
                <c:pt idx="4">
                  <c:v>0</c:v>
                </c:pt>
                <c:pt idx="5">
                  <c:v>0</c:v>
                </c:pt>
                <c:pt idx="6">
                  <c:v>0</c:v>
                </c:pt>
              </c:numCache>
            </c:numRef>
          </c:val>
          <c:extLst>
            <c:ext xmlns:c16="http://schemas.microsoft.com/office/drawing/2014/chart" uri="{C3380CC4-5D6E-409C-BE32-E72D297353CC}">
              <c16:uniqueId val="{00000004-B524-4499-B9F8-89FEE96CCDE5}"/>
            </c:ext>
          </c:extLst>
        </c:ser>
        <c:dLbls>
          <c:showLegendKey val="0"/>
          <c:showVal val="0"/>
          <c:showCatName val="0"/>
          <c:showSerName val="0"/>
          <c:showPercent val="0"/>
          <c:showBubbleSize val="0"/>
        </c:dLbls>
        <c:gapWidth val="150"/>
        <c:overlap val="100"/>
        <c:axId val="521721488"/>
        <c:axId val="521719136"/>
      </c:barChart>
      <c:catAx>
        <c:axId val="521721488"/>
        <c:scaling>
          <c:orientation val="minMax"/>
        </c:scaling>
        <c:delete val="0"/>
        <c:axPos val="b"/>
        <c:numFmt formatCode="General" sourceLinked="1"/>
        <c:majorTickMark val="out"/>
        <c:minorTickMark val="none"/>
        <c:tickLblPos val="nextTo"/>
        <c:txPr>
          <a:bodyPr/>
          <a:lstStyle/>
          <a:p>
            <a:pPr>
              <a:defRPr sz="900" b="0" i="0" u="none" baseline="0">
                <a:solidFill>
                  <a:srgbClr val="000000"/>
                </a:solidFill>
                <a:latin typeface="Calibri"/>
                <a:ea typeface="Calibri"/>
                <a:cs typeface="Calibri"/>
              </a:defRPr>
            </a:pPr>
            <a:endParaRPr lang="en-US"/>
          </a:p>
        </c:txPr>
        <c:crossAx val="521719136"/>
        <c:crosses val="autoZero"/>
        <c:auto val="1"/>
        <c:lblAlgn val="ctr"/>
        <c:lblOffset val="100"/>
        <c:tickLblSkip val="1"/>
        <c:tickMarkSkip val="1"/>
        <c:noMultiLvlLbl val="1"/>
      </c:catAx>
      <c:valAx>
        <c:axId val="521719136"/>
        <c:scaling>
          <c:orientation val="minMax"/>
        </c:scaling>
        <c:delete val="0"/>
        <c:axPos val="l"/>
        <c:majorGridlines/>
        <c:numFmt formatCode="_(* #,##0_);_(* \(#,##0\);_(* &quot;-&quot;_);_(@_)" sourceLinked="1"/>
        <c:majorTickMark val="out"/>
        <c:minorTickMark val="none"/>
        <c:tickLblPos val="nextTo"/>
        <c:txPr>
          <a:bodyPr/>
          <a:lstStyle/>
          <a:p>
            <a:pPr>
              <a:defRPr sz="900" b="0" i="0" u="none" baseline="0">
                <a:solidFill>
                  <a:srgbClr val="000000"/>
                </a:solidFill>
                <a:latin typeface="Calibri"/>
                <a:ea typeface="Calibri"/>
                <a:cs typeface="Calibri"/>
              </a:defRPr>
            </a:pPr>
            <a:endParaRPr lang="en-US"/>
          </a:p>
        </c:txPr>
        <c:crossAx val="521721488"/>
        <c:crosses val="autoZero"/>
        <c:crossBetween val="between"/>
      </c:valAx>
    </c:plotArea>
    <c:legend>
      <c:legendPos val="r"/>
      <c:layout>
        <c:manualLayout>
          <c:xMode val="edge"/>
          <c:yMode val="edge"/>
          <c:x val="0.70138739582838272"/>
          <c:y val="0.16675018494231578"/>
          <c:w val="0.28303429374528982"/>
          <c:h val="0.6713286713286738"/>
        </c:manualLayout>
      </c:layout>
      <c:overlay val="0"/>
      <c:txPr>
        <a:bodyPr/>
        <a:lstStyle/>
        <a:p>
          <a:pPr>
            <a:defRPr sz="920" b="0" i="0" u="none" baseline="0">
              <a:solidFill>
                <a:srgbClr val="000000"/>
              </a:solidFill>
              <a:latin typeface="Calibri"/>
              <a:ea typeface="Calibri"/>
              <a:cs typeface="Calibri"/>
            </a:defRPr>
          </a:pPr>
          <a:endParaRPr lang="en-US"/>
        </a:p>
      </c:txPr>
    </c:legend>
    <c:plotVisOnly val="1"/>
    <c:dispBlanksAs val="gap"/>
    <c:showDLblsOverMax val="0"/>
  </c:chart>
  <c:spPr>
    <a:ln w="3175">
      <a:solidFill>
        <a:srgbClr val="000000"/>
      </a:solidFill>
      <a:prstDash val="solid"/>
    </a:ln>
  </c:spPr>
  <c:printSettings>
    <c:headerFooter/>
    <c:pageMargins b="0.75000000000000122" l="0.70000000000000062" r="0.70000000000000062" t="0.75000000000000122"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16371391076116"/>
          <c:y val="5.3058636487643425E-2"/>
          <c:w val="0.48046136811023632"/>
          <c:h val="0.82722019962558535"/>
        </c:manualLayout>
      </c:layout>
      <c:barChart>
        <c:barDir val="col"/>
        <c:grouping val="stacked"/>
        <c:varyColors val="0"/>
        <c:ser>
          <c:idx val="0"/>
          <c:order val="0"/>
          <c:tx>
            <c:strRef>
              <c:f>'Data Input'!$A$67</c:f>
              <c:strCache>
                <c:ptCount val="1"/>
                <c:pt idx="0">
                  <c:v> Structured Debt </c:v>
                </c:pt>
              </c:strCache>
            </c:strRef>
          </c:tx>
          <c:spPr>
            <a:ln w="6350">
              <a:solidFill>
                <a:sysClr val="windowText" lastClr="000000"/>
              </a:solidFill>
            </a:ln>
          </c:spPr>
          <c:invertIfNegative val="0"/>
          <c:cat>
            <c:numRef>
              <c:f>'Data Input'!$W$2:$X$2</c:f>
              <c:numCache>
                <c:formatCode>General</c:formatCode>
                <c:ptCount val="2"/>
                <c:pt idx="0">
                  <c:v>2019</c:v>
                </c:pt>
                <c:pt idx="1">
                  <c:v>2020</c:v>
                </c:pt>
              </c:numCache>
            </c:numRef>
          </c:cat>
          <c:val>
            <c:numRef>
              <c:f>'Data Input'!$W$67:$X$67</c:f>
              <c:numCache>
                <c:formatCode>_(* #,##0_);_(* \(#,##0\);_(* "-"_);_(@_)</c:formatCode>
                <c:ptCount val="2"/>
                <c:pt idx="0">
                  <c:v>705.95</c:v>
                </c:pt>
                <c:pt idx="1">
                  <c:v>557.76</c:v>
                </c:pt>
              </c:numCache>
            </c:numRef>
          </c:val>
          <c:extLst>
            <c:ext xmlns:c16="http://schemas.microsoft.com/office/drawing/2014/chart" uri="{C3380CC4-5D6E-409C-BE32-E72D297353CC}">
              <c16:uniqueId val="{00000000-2D0D-4D26-B85E-6E81ED4C0F4B}"/>
            </c:ext>
          </c:extLst>
        </c:ser>
        <c:ser>
          <c:idx val="1"/>
          <c:order val="1"/>
          <c:tx>
            <c:strRef>
              <c:f>'Data Input'!$A$68</c:f>
              <c:strCache>
                <c:ptCount val="1"/>
                <c:pt idx="0">
                  <c:v> Employee Compensated Absences </c:v>
                </c:pt>
              </c:strCache>
            </c:strRef>
          </c:tx>
          <c:spPr>
            <a:ln w="6350">
              <a:solidFill>
                <a:sysClr val="windowText" lastClr="000000"/>
              </a:solidFill>
            </a:ln>
          </c:spPr>
          <c:invertIfNegative val="0"/>
          <c:cat>
            <c:numRef>
              <c:f>'Data Input'!$W$2:$X$2</c:f>
              <c:numCache>
                <c:formatCode>General</c:formatCode>
                <c:ptCount val="2"/>
                <c:pt idx="0">
                  <c:v>2019</c:v>
                </c:pt>
                <c:pt idx="1">
                  <c:v>2020</c:v>
                </c:pt>
              </c:numCache>
            </c:numRef>
          </c:cat>
          <c:val>
            <c:numRef>
              <c:f>'Data Input'!$W$68:$X$68</c:f>
              <c:numCache>
                <c:formatCode>_(* #,##0_);_(* \(#,##0\);_(* "-"_);_(@_)</c:formatCode>
                <c:ptCount val="2"/>
                <c:pt idx="0">
                  <c:v>137.34</c:v>
                </c:pt>
                <c:pt idx="1">
                  <c:v>117.55</c:v>
                </c:pt>
              </c:numCache>
            </c:numRef>
          </c:val>
          <c:extLst>
            <c:ext xmlns:c16="http://schemas.microsoft.com/office/drawing/2014/chart" uri="{C3380CC4-5D6E-409C-BE32-E72D297353CC}">
              <c16:uniqueId val="{00000001-2D0D-4D26-B85E-6E81ED4C0F4B}"/>
            </c:ext>
          </c:extLst>
        </c:ser>
        <c:ser>
          <c:idx val="2"/>
          <c:order val="2"/>
          <c:tx>
            <c:strRef>
              <c:f>'Data Input'!$A$69</c:f>
              <c:strCache>
                <c:ptCount val="1"/>
                <c:pt idx="0">
                  <c:v> Landfill Closure &amp; Postclosure Care </c:v>
                </c:pt>
              </c:strCache>
            </c:strRef>
          </c:tx>
          <c:invertIfNegative val="0"/>
          <c:cat>
            <c:numRef>
              <c:f>'Data Input'!$W$2:$X$2</c:f>
              <c:numCache>
                <c:formatCode>General</c:formatCode>
                <c:ptCount val="2"/>
                <c:pt idx="0">
                  <c:v>2019</c:v>
                </c:pt>
                <c:pt idx="1">
                  <c:v>2020</c:v>
                </c:pt>
              </c:numCache>
            </c:numRef>
          </c:cat>
          <c:val>
            <c:numRef>
              <c:f>'Data Input'!$W$69:$X$69</c:f>
              <c:numCache>
                <c:formatCode>_(* #,##0_);_(* \(#,##0\);_(* "-"_);_(@_)</c:formatCode>
                <c:ptCount val="2"/>
                <c:pt idx="0">
                  <c:v>0</c:v>
                </c:pt>
                <c:pt idx="1">
                  <c:v>0</c:v>
                </c:pt>
              </c:numCache>
            </c:numRef>
          </c:val>
          <c:extLst>
            <c:ext xmlns:c16="http://schemas.microsoft.com/office/drawing/2014/chart" uri="{C3380CC4-5D6E-409C-BE32-E72D297353CC}">
              <c16:uniqueId val="{00000002-2D0D-4D26-B85E-6E81ED4C0F4B}"/>
            </c:ext>
          </c:extLst>
        </c:ser>
        <c:ser>
          <c:idx val="3"/>
          <c:order val="3"/>
          <c:tx>
            <c:strRef>
              <c:f>'Data Input'!$A$70</c:f>
              <c:strCache>
                <c:ptCount val="1"/>
                <c:pt idx="0">
                  <c:v> Uninsured Losses </c:v>
                </c:pt>
              </c:strCache>
            </c:strRef>
          </c:tx>
          <c:invertIfNegative val="0"/>
          <c:cat>
            <c:numRef>
              <c:f>'Data Input'!$W$2:$X$2</c:f>
              <c:numCache>
                <c:formatCode>General</c:formatCode>
                <c:ptCount val="2"/>
                <c:pt idx="0">
                  <c:v>2019</c:v>
                </c:pt>
                <c:pt idx="1">
                  <c:v>2020</c:v>
                </c:pt>
              </c:numCache>
            </c:numRef>
          </c:cat>
          <c:val>
            <c:numRef>
              <c:f>'Data Input'!$W$70:$X$70</c:f>
              <c:numCache>
                <c:formatCode>_(* #,##0_);_(* \(#,##0\);_(* "-"_);_(@_)</c:formatCode>
                <c:ptCount val="2"/>
                <c:pt idx="0">
                  <c:v>0</c:v>
                </c:pt>
                <c:pt idx="1">
                  <c:v>0</c:v>
                </c:pt>
              </c:numCache>
            </c:numRef>
          </c:val>
          <c:extLst>
            <c:ext xmlns:c16="http://schemas.microsoft.com/office/drawing/2014/chart" uri="{C3380CC4-5D6E-409C-BE32-E72D297353CC}">
              <c16:uniqueId val="{00000003-2D0D-4D26-B85E-6E81ED4C0F4B}"/>
            </c:ext>
          </c:extLst>
        </c:ser>
        <c:ser>
          <c:idx val="4"/>
          <c:order val="4"/>
          <c:tx>
            <c:strRef>
              <c:f>'Data Input'!$A$71</c:f>
              <c:strCache>
                <c:ptCount val="1"/>
                <c:pt idx="0">
                  <c:v> Other Claims &amp; Contingencies </c:v>
                </c:pt>
              </c:strCache>
            </c:strRef>
          </c:tx>
          <c:invertIfNegative val="0"/>
          <c:cat>
            <c:numRef>
              <c:f>'Data Input'!$W$2:$X$2</c:f>
              <c:numCache>
                <c:formatCode>General</c:formatCode>
                <c:ptCount val="2"/>
                <c:pt idx="0">
                  <c:v>2019</c:v>
                </c:pt>
                <c:pt idx="1">
                  <c:v>2020</c:v>
                </c:pt>
              </c:numCache>
            </c:numRef>
          </c:cat>
          <c:val>
            <c:numRef>
              <c:f>'Data Input'!$W$71:$X$71</c:f>
              <c:numCache>
                <c:formatCode>_(* #,##0_);_(* \(#,##0\);_(* "-"_);_(@_)</c:formatCode>
                <c:ptCount val="2"/>
                <c:pt idx="0">
                  <c:v>0</c:v>
                </c:pt>
                <c:pt idx="1">
                  <c:v>0</c:v>
                </c:pt>
              </c:numCache>
            </c:numRef>
          </c:val>
          <c:extLst>
            <c:ext xmlns:c16="http://schemas.microsoft.com/office/drawing/2014/chart" uri="{C3380CC4-5D6E-409C-BE32-E72D297353CC}">
              <c16:uniqueId val="{00000004-2D0D-4D26-B85E-6E81ED4C0F4B}"/>
            </c:ext>
          </c:extLst>
        </c:ser>
        <c:dLbls>
          <c:showLegendKey val="0"/>
          <c:showVal val="0"/>
          <c:showCatName val="0"/>
          <c:showSerName val="0"/>
          <c:showPercent val="0"/>
          <c:showBubbleSize val="0"/>
        </c:dLbls>
        <c:gapWidth val="150"/>
        <c:overlap val="100"/>
        <c:axId val="521721880"/>
        <c:axId val="521722272"/>
      </c:barChart>
      <c:catAx>
        <c:axId val="521721880"/>
        <c:scaling>
          <c:orientation val="minMax"/>
        </c:scaling>
        <c:delete val="0"/>
        <c:axPos val="b"/>
        <c:numFmt formatCode="General" sourceLinked="1"/>
        <c:majorTickMark val="out"/>
        <c:minorTickMark val="none"/>
        <c:tickLblPos val="nextTo"/>
        <c:txPr>
          <a:bodyPr/>
          <a:lstStyle/>
          <a:p>
            <a:pPr>
              <a:defRPr sz="1000" b="0" i="0" u="none" baseline="0">
                <a:solidFill>
                  <a:srgbClr val="000000"/>
                </a:solidFill>
                <a:latin typeface="Calibri"/>
                <a:ea typeface="Calibri"/>
                <a:cs typeface="Calibri"/>
              </a:defRPr>
            </a:pPr>
            <a:endParaRPr lang="en-US"/>
          </a:p>
        </c:txPr>
        <c:crossAx val="521722272"/>
        <c:crosses val="autoZero"/>
        <c:auto val="1"/>
        <c:lblAlgn val="ctr"/>
        <c:lblOffset val="100"/>
        <c:tickLblSkip val="1"/>
        <c:tickMarkSkip val="1"/>
        <c:noMultiLvlLbl val="1"/>
      </c:catAx>
      <c:valAx>
        <c:axId val="521722272"/>
        <c:scaling>
          <c:orientation val="minMax"/>
        </c:scaling>
        <c:delete val="0"/>
        <c:axPos val="l"/>
        <c:majorGridlines/>
        <c:numFmt formatCode="_(* #,##0_);_(* \(#,##0\);_(* &quot;-&quot;_);_(@_)" sourceLinked="1"/>
        <c:majorTickMark val="out"/>
        <c:minorTickMark val="none"/>
        <c:tickLblPos val="nextTo"/>
        <c:txPr>
          <a:bodyPr/>
          <a:lstStyle/>
          <a:p>
            <a:pPr>
              <a:defRPr sz="1000" b="0" i="0" u="none" baseline="0">
                <a:solidFill>
                  <a:srgbClr val="000000"/>
                </a:solidFill>
                <a:latin typeface="Calibri"/>
                <a:ea typeface="Calibri"/>
                <a:cs typeface="Calibri"/>
              </a:defRPr>
            </a:pPr>
            <a:endParaRPr lang="en-US"/>
          </a:p>
        </c:txPr>
        <c:crossAx val="521721880"/>
        <c:crosses val="autoZero"/>
        <c:crossBetween val="between"/>
      </c:valAx>
    </c:plotArea>
    <c:legend>
      <c:legendPos val="r"/>
      <c:layout>
        <c:manualLayout>
          <c:xMode val="edge"/>
          <c:yMode val="edge"/>
          <c:x val="0.63154158464566934"/>
          <c:y val="0.16675000000000001"/>
          <c:w val="0.35501968503937076"/>
          <c:h val="0.67139479905437471"/>
        </c:manualLayout>
      </c:layout>
      <c:overlay val="0"/>
      <c:txPr>
        <a:bodyPr/>
        <a:lstStyle/>
        <a:p>
          <a:pPr>
            <a:defRPr sz="920" b="0" i="0" u="none" baseline="0">
              <a:solidFill>
                <a:srgbClr val="000000"/>
              </a:solidFill>
              <a:latin typeface="Calibri"/>
              <a:ea typeface="Calibri"/>
              <a:cs typeface="Calibri"/>
            </a:defRPr>
          </a:pPr>
          <a:endParaRPr lang="en-US"/>
        </a:p>
      </c:txPr>
    </c:legend>
    <c:plotVisOnly val="1"/>
    <c:dispBlanksAs val="gap"/>
    <c:showDLblsOverMax val="0"/>
  </c:chart>
  <c:spPr>
    <a:ln w="3175">
      <a:solidFill>
        <a:srgbClr val="000000"/>
      </a:solidFill>
      <a:prstDash val="solid"/>
    </a:ln>
  </c:spPr>
  <c:printSettings>
    <c:headerFooter/>
    <c:pageMargins b="0.75000000000000122" l="0.70000000000000062" r="0.70000000000000062" t="0.75000000000000122"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269413583576057"/>
          <c:y val="8.7060161368530828E-2"/>
          <c:w val="0.80475000000000063"/>
          <c:h val="0.71802792840643348"/>
        </c:manualLayout>
      </c:layout>
      <c:barChart>
        <c:barDir val="col"/>
        <c:grouping val="clustered"/>
        <c:varyColors val="0"/>
        <c:ser>
          <c:idx val="0"/>
          <c:order val="0"/>
          <c:tx>
            <c:strRef>
              <c:f>'Data Input'!$U$45</c:f>
              <c:strCache>
                <c:ptCount val="1"/>
                <c:pt idx="0">
                  <c:v>12/31/2018</c:v>
                </c:pt>
              </c:strCache>
            </c:strRef>
          </c:tx>
          <c:spPr>
            <a:ln w="6350">
              <a:solidFill>
                <a:sysClr val="windowText" lastClr="000000"/>
              </a:solidFill>
            </a:ln>
          </c:spPr>
          <c:invertIfNegative val="0"/>
          <c:cat>
            <c:strRef>
              <c:f>'Data Input'!$A$56</c:f>
              <c:strCache>
                <c:ptCount val="1"/>
                <c:pt idx="0">
                  <c:v> Sum of All Pension &amp; OPEB Plans </c:v>
                </c:pt>
              </c:strCache>
            </c:strRef>
          </c:cat>
          <c:val>
            <c:numRef>
              <c:f>'Data Input'!$U$60</c:f>
              <c:numCache>
                <c:formatCode>0.0%</c:formatCode>
                <c:ptCount val="1"/>
                <c:pt idx="0">
                  <c:v>0.59745400846030416</c:v>
                </c:pt>
              </c:numCache>
            </c:numRef>
          </c:val>
          <c:extLst>
            <c:ext xmlns:c16="http://schemas.microsoft.com/office/drawing/2014/chart" uri="{C3380CC4-5D6E-409C-BE32-E72D297353CC}">
              <c16:uniqueId val="{00000000-E80D-4A4A-BF46-90E12FDCFE98}"/>
            </c:ext>
          </c:extLst>
        </c:ser>
        <c:ser>
          <c:idx val="1"/>
          <c:order val="1"/>
          <c:tx>
            <c:strRef>
              <c:f>'Data Input'!$V$45</c:f>
              <c:strCache>
                <c:ptCount val="1"/>
                <c:pt idx="0">
                  <c:v>12/31/2019</c:v>
                </c:pt>
              </c:strCache>
            </c:strRef>
          </c:tx>
          <c:spPr>
            <a:ln w="6350">
              <a:solidFill>
                <a:sysClr val="windowText" lastClr="000000"/>
              </a:solidFill>
            </a:ln>
          </c:spPr>
          <c:invertIfNegative val="0"/>
          <c:cat>
            <c:strRef>
              <c:f>'Data Input'!$A$56</c:f>
              <c:strCache>
                <c:ptCount val="1"/>
                <c:pt idx="0">
                  <c:v> Sum of All Pension &amp; OPEB Plans </c:v>
                </c:pt>
              </c:strCache>
            </c:strRef>
          </c:cat>
          <c:val>
            <c:numRef>
              <c:f>'Data Input'!$V$60</c:f>
              <c:numCache>
                <c:formatCode>0.0%</c:formatCode>
                <c:ptCount val="1"/>
                <c:pt idx="0">
                  <c:v>0.61765607878486706</c:v>
                </c:pt>
              </c:numCache>
            </c:numRef>
          </c:val>
          <c:extLst>
            <c:ext xmlns:c16="http://schemas.microsoft.com/office/drawing/2014/chart" uri="{C3380CC4-5D6E-409C-BE32-E72D297353CC}">
              <c16:uniqueId val="{00000001-E80D-4A4A-BF46-90E12FDCFE98}"/>
            </c:ext>
          </c:extLst>
        </c:ser>
        <c:dLbls>
          <c:showLegendKey val="0"/>
          <c:showVal val="0"/>
          <c:showCatName val="0"/>
          <c:showSerName val="0"/>
          <c:showPercent val="0"/>
          <c:showBubbleSize val="0"/>
        </c:dLbls>
        <c:gapWidth val="150"/>
        <c:overlap val="-15"/>
        <c:axId val="521716392"/>
        <c:axId val="521716784"/>
      </c:barChart>
      <c:catAx>
        <c:axId val="521716392"/>
        <c:scaling>
          <c:orientation val="minMax"/>
        </c:scaling>
        <c:delete val="0"/>
        <c:axPos val="b"/>
        <c:numFmt formatCode="General" sourceLinked="1"/>
        <c:majorTickMark val="out"/>
        <c:minorTickMark val="none"/>
        <c:tickLblPos val="nextTo"/>
        <c:txPr>
          <a:bodyPr/>
          <a:lstStyle/>
          <a:p>
            <a:pPr>
              <a:defRPr sz="1000" b="0" i="0" u="none" baseline="0">
                <a:solidFill>
                  <a:srgbClr val="000000"/>
                </a:solidFill>
                <a:latin typeface="Calibri"/>
                <a:ea typeface="Calibri"/>
                <a:cs typeface="Calibri"/>
              </a:defRPr>
            </a:pPr>
            <a:endParaRPr lang="en-US"/>
          </a:p>
        </c:txPr>
        <c:crossAx val="521716784"/>
        <c:crossesAt val="0.5"/>
        <c:auto val="1"/>
        <c:lblAlgn val="ctr"/>
        <c:lblOffset val="100"/>
        <c:tickLblSkip val="1"/>
        <c:tickMarkSkip val="1"/>
        <c:noMultiLvlLbl val="1"/>
      </c:catAx>
      <c:valAx>
        <c:axId val="521716784"/>
        <c:scaling>
          <c:orientation val="minMax"/>
          <c:max val="0.64000000000000012"/>
          <c:min val="0.5"/>
        </c:scaling>
        <c:delete val="0"/>
        <c:axPos val="l"/>
        <c:majorGridlines/>
        <c:numFmt formatCode="0.0%" sourceLinked="1"/>
        <c:majorTickMark val="out"/>
        <c:minorTickMark val="none"/>
        <c:tickLblPos val="nextTo"/>
        <c:txPr>
          <a:bodyPr/>
          <a:lstStyle/>
          <a:p>
            <a:pPr>
              <a:defRPr sz="1000" b="0" i="0" u="none" baseline="0">
                <a:solidFill>
                  <a:srgbClr val="000000"/>
                </a:solidFill>
                <a:latin typeface="Calibri"/>
                <a:ea typeface="Calibri"/>
                <a:cs typeface="Calibri"/>
              </a:defRPr>
            </a:pPr>
            <a:endParaRPr lang="en-US"/>
          </a:p>
        </c:txPr>
        <c:crossAx val="521716392"/>
        <c:crosses val="autoZero"/>
        <c:crossBetween val="between"/>
        <c:majorUnit val="2.0000000000000004E-2"/>
      </c:valAx>
    </c:plotArea>
    <c:legend>
      <c:legendPos val="r"/>
      <c:layout>
        <c:manualLayout>
          <c:xMode val="edge"/>
          <c:yMode val="edge"/>
          <c:x val="0.29383554452953653"/>
          <c:y val="0.8934983653359112"/>
          <c:w val="0.49315068493150732"/>
          <c:h val="7.785888077858881E-2"/>
        </c:manualLayout>
      </c:layout>
      <c:overlay val="0"/>
      <c:txPr>
        <a:bodyPr/>
        <a:lstStyle/>
        <a:p>
          <a:pPr>
            <a:defRPr sz="920" b="0" i="0" u="none" baseline="0">
              <a:solidFill>
                <a:srgbClr val="000000"/>
              </a:solidFill>
              <a:latin typeface="Calibri"/>
              <a:ea typeface="Calibri"/>
              <a:cs typeface="Calibri"/>
            </a:defRPr>
          </a:pPr>
          <a:endParaRPr lang="en-US"/>
        </a:p>
      </c:txPr>
    </c:legend>
    <c:plotVisOnly val="1"/>
    <c:dispBlanksAs val="gap"/>
    <c:showDLblsOverMax val="0"/>
  </c:chart>
  <c:spPr>
    <a:ln w="3175">
      <a:solidFill>
        <a:srgbClr val="000000"/>
      </a:solidFill>
      <a:prstDash val="solid"/>
    </a:ln>
  </c:spPr>
  <c:printSettings>
    <c:headerFooter/>
    <c:pageMargins b="0.75000000000000122" l="0.70000000000000062" r="0.70000000000000062" t="0.7500000000000012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648625232525546"/>
          <c:y val="4.9739760389729874E-2"/>
          <c:w val="0.74825000000000064"/>
          <c:h val="0.58860588537253866"/>
        </c:manualLayout>
      </c:layout>
      <c:barChart>
        <c:barDir val="col"/>
        <c:grouping val="clustered"/>
        <c:varyColors val="0"/>
        <c:ser>
          <c:idx val="0"/>
          <c:order val="0"/>
          <c:tx>
            <c:strRef>
              <c:f>'Data Input'!$X$2</c:f>
              <c:strCache>
                <c:ptCount val="1"/>
                <c:pt idx="0">
                  <c:v>2020</c:v>
                </c:pt>
              </c:strCache>
            </c:strRef>
          </c:tx>
          <c:invertIfNegative val="0"/>
          <c:cat>
            <c:strRef>
              <c:f>'Data Input'!$B$7:$B$16</c:f>
              <c:strCache>
                <c:ptCount val="10"/>
                <c:pt idx="0">
                  <c:v> Taxes </c:v>
                </c:pt>
                <c:pt idx="1">
                  <c:v> Licenses &amp; Permits </c:v>
                </c:pt>
                <c:pt idx="2">
                  <c:v> From Federal Gov </c:v>
                </c:pt>
                <c:pt idx="3">
                  <c:v> From State Gov </c:v>
                </c:pt>
                <c:pt idx="4">
                  <c:v> Local Contributions </c:v>
                </c:pt>
                <c:pt idx="5">
                  <c:v> Charges for Services </c:v>
                </c:pt>
                <c:pt idx="6">
                  <c:v> Fines &amp; Forfeitures </c:v>
                </c:pt>
                <c:pt idx="7">
                  <c:v> Interest &amp; Rent </c:v>
                </c:pt>
                <c:pt idx="8">
                  <c:v> Other Revenue </c:v>
                </c:pt>
                <c:pt idx="9">
                  <c:v> Bond Proceeds </c:v>
                </c:pt>
              </c:strCache>
            </c:strRef>
          </c:cat>
          <c:val>
            <c:numRef>
              <c:f>'Data Input'!$X$7:$X$16</c:f>
              <c:numCache>
                <c:formatCode>_(* #,##0_);_(* \(#,##0\);_(* "-"_);_(@_)</c:formatCode>
                <c:ptCount val="10"/>
                <c:pt idx="0">
                  <c:v>864.74</c:v>
                </c:pt>
                <c:pt idx="1">
                  <c:v>71.78</c:v>
                </c:pt>
                <c:pt idx="2">
                  <c:v>0</c:v>
                </c:pt>
                <c:pt idx="3">
                  <c:v>267.3</c:v>
                </c:pt>
                <c:pt idx="4">
                  <c:v>1.66</c:v>
                </c:pt>
                <c:pt idx="5">
                  <c:v>210.74</c:v>
                </c:pt>
                <c:pt idx="6">
                  <c:v>4.87</c:v>
                </c:pt>
                <c:pt idx="7">
                  <c:v>11.86</c:v>
                </c:pt>
                <c:pt idx="8">
                  <c:v>72.7</c:v>
                </c:pt>
                <c:pt idx="9">
                  <c:v>0</c:v>
                </c:pt>
              </c:numCache>
            </c:numRef>
          </c:val>
          <c:extLst>
            <c:ext xmlns:c16="http://schemas.microsoft.com/office/drawing/2014/chart" uri="{C3380CC4-5D6E-409C-BE32-E72D297353CC}">
              <c16:uniqueId val="{00000000-FC6E-4BC6-ADBB-0267E9F1FBE3}"/>
            </c:ext>
          </c:extLst>
        </c:ser>
        <c:ser>
          <c:idx val="1"/>
          <c:order val="1"/>
          <c:tx>
            <c:strRef>
              <c:f>'Data Input'!$W$2</c:f>
              <c:strCache>
                <c:ptCount val="1"/>
                <c:pt idx="0">
                  <c:v>2019</c:v>
                </c:pt>
              </c:strCache>
            </c:strRef>
          </c:tx>
          <c:spPr>
            <a:solidFill>
              <a:srgbClr val="C00000"/>
            </a:solidFill>
          </c:spPr>
          <c:invertIfNegative val="0"/>
          <c:cat>
            <c:strRef>
              <c:f>'Data Input'!$B$7:$B$16</c:f>
              <c:strCache>
                <c:ptCount val="10"/>
                <c:pt idx="0">
                  <c:v> Taxes </c:v>
                </c:pt>
                <c:pt idx="1">
                  <c:v> Licenses &amp; Permits </c:v>
                </c:pt>
                <c:pt idx="2">
                  <c:v> From Federal Gov </c:v>
                </c:pt>
                <c:pt idx="3">
                  <c:v> From State Gov </c:v>
                </c:pt>
                <c:pt idx="4">
                  <c:v> Local Contributions </c:v>
                </c:pt>
                <c:pt idx="5">
                  <c:v> Charges for Services </c:v>
                </c:pt>
                <c:pt idx="6">
                  <c:v> Fines &amp; Forfeitures </c:v>
                </c:pt>
                <c:pt idx="7">
                  <c:v> Interest &amp; Rent </c:v>
                </c:pt>
                <c:pt idx="8">
                  <c:v> Other Revenue </c:v>
                </c:pt>
                <c:pt idx="9">
                  <c:v> Bond Proceeds </c:v>
                </c:pt>
              </c:strCache>
            </c:strRef>
          </c:cat>
          <c:val>
            <c:numRef>
              <c:f>'Data Input'!$W$7:$W$16</c:f>
              <c:numCache>
                <c:formatCode>_(* #,##0_);_(* \(#,##0\);_(* "-"_);_(@_)</c:formatCode>
                <c:ptCount val="10"/>
                <c:pt idx="0">
                  <c:v>769.21</c:v>
                </c:pt>
                <c:pt idx="1">
                  <c:v>79.66</c:v>
                </c:pt>
                <c:pt idx="2">
                  <c:v>0</c:v>
                </c:pt>
                <c:pt idx="3">
                  <c:v>281.62</c:v>
                </c:pt>
                <c:pt idx="4">
                  <c:v>4.05</c:v>
                </c:pt>
                <c:pt idx="5">
                  <c:v>258.8</c:v>
                </c:pt>
                <c:pt idx="6">
                  <c:v>6.51</c:v>
                </c:pt>
                <c:pt idx="7">
                  <c:v>15.46</c:v>
                </c:pt>
                <c:pt idx="8">
                  <c:v>106.13</c:v>
                </c:pt>
                <c:pt idx="9">
                  <c:v>0</c:v>
                </c:pt>
              </c:numCache>
            </c:numRef>
          </c:val>
          <c:extLst>
            <c:ext xmlns:c16="http://schemas.microsoft.com/office/drawing/2014/chart" uri="{C3380CC4-5D6E-409C-BE32-E72D297353CC}">
              <c16:uniqueId val="{00000001-FC6E-4BC6-ADBB-0267E9F1FBE3}"/>
            </c:ext>
          </c:extLst>
        </c:ser>
        <c:dLbls>
          <c:showLegendKey val="0"/>
          <c:showVal val="0"/>
          <c:showCatName val="0"/>
          <c:showSerName val="0"/>
          <c:showPercent val="0"/>
          <c:showBubbleSize val="0"/>
        </c:dLbls>
        <c:gapWidth val="150"/>
        <c:axId val="42744616"/>
        <c:axId val="42745400"/>
      </c:barChart>
      <c:catAx>
        <c:axId val="42744616"/>
        <c:scaling>
          <c:orientation val="minMax"/>
        </c:scaling>
        <c:delete val="0"/>
        <c:axPos val="b"/>
        <c:numFmt formatCode="General" sourceLinked="1"/>
        <c:majorTickMark val="out"/>
        <c:minorTickMark val="none"/>
        <c:tickLblPos val="nextTo"/>
        <c:txPr>
          <a:bodyPr rot="-2100000"/>
          <a:lstStyle/>
          <a:p>
            <a:pPr>
              <a:defRPr sz="900" baseline="0"/>
            </a:pPr>
            <a:endParaRPr lang="en-US"/>
          </a:p>
        </c:txPr>
        <c:crossAx val="42745400"/>
        <c:crosses val="autoZero"/>
        <c:auto val="1"/>
        <c:lblAlgn val="ctr"/>
        <c:lblOffset val="100"/>
        <c:tickLblSkip val="1"/>
        <c:tickMarkSkip val="1"/>
        <c:noMultiLvlLbl val="1"/>
      </c:catAx>
      <c:valAx>
        <c:axId val="42745400"/>
        <c:scaling>
          <c:orientation val="minMax"/>
        </c:scaling>
        <c:delete val="0"/>
        <c:axPos val="l"/>
        <c:majorGridlines/>
        <c:title>
          <c:tx>
            <c:rich>
              <a:bodyPr/>
              <a:lstStyle/>
              <a:p>
                <a:r>
                  <a:rPr lang="en-US" sz="1000" b="0" i="0" u="none" baseline="0">
                    <a:solidFill>
                      <a:srgbClr val="000000"/>
                    </a:solidFill>
                    <a:latin typeface="Arial"/>
                    <a:ea typeface="Arial"/>
                    <a:cs typeface="Arial"/>
                  </a:rPr>
                  <a:t>Amount </a:t>
                </a:r>
              </a:p>
            </c:rich>
          </c:tx>
          <c:layout>
            <c:manualLayout>
              <c:xMode val="edge"/>
              <c:yMode val="edge"/>
              <c:x val="1.4363835588512628E-2"/>
              <c:y val="0.17913201809183446"/>
            </c:manualLayout>
          </c:layout>
          <c:overlay val="0"/>
        </c:title>
        <c:numFmt formatCode="_(* #,##0_);_(* \(#,##0\);_(* &quot;-&quot;_);_(@_)" sourceLinked="1"/>
        <c:majorTickMark val="out"/>
        <c:minorTickMark val="none"/>
        <c:tickLblPos val="nextTo"/>
        <c:crossAx val="42744616"/>
        <c:crosses val="autoZero"/>
        <c:crossBetween val="between"/>
      </c:valAx>
    </c:plotArea>
    <c:legend>
      <c:legendPos val="r"/>
      <c:layout>
        <c:manualLayout>
          <c:xMode val="edge"/>
          <c:yMode val="edge"/>
          <c:x val="0.64784836904710252"/>
          <c:y val="9.0504489744807168E-2"/>
          <c:w val="0.22537828738635254"/>
          <c:h val="9.4721113259246092E-2"/>
        </c:manualLayout>
      </c:layout>
      <c:overlay val="0"/>
      <c:spPr>
        <a:solidFill>
          <a:schemeClr val="lt1"/>
        </a:solidFill>
        <a:ln>
          <a:solidFill>
            <a:srgbClr val="000000"/>
          </a:solidFill>
        </a:ln>
      </c:spPr>
    </c:legend>
    <c:plotVisOnly val="1"/>
    <c:dispBlanksAs val="gap"/>
    <c:showDLblsOverMax val="0"/>
  </c:chart>
  <c:spPr>
    <a:ln w="3175">
      <a:solidFill>
        <a:srgbClr val="000000"/>
      </a:solidFill>
      <a:prstDash val="solid"/>
    </a:ln>
  </c:spPr>
  <c:printSettings>
    <c:headerFooter/>
    <c:pageMargins b="0.75000000000000122" l="0.70000000000000062" r="0.70000000000000062" t="0.7500000000000012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4115473441108529"/>
          <c:y val="1.1444921316165998E-2"/>
        </c:manualLayout>
      </c:layout>
      <c:overlay val="0"/>
      <c:txPr>
        <a:bodyPr/>
        <a:lstStyle/>
        <a:p>
          <a:pPr>
            <a:defRPr sz="1700" baseline="0"/>
          </a:pPr>
          <a:endParaRPr lang="en-US"/>
        </a:p>
      </c:txPr>
    </c:title>
    <c:autoTitleDeleted val="0"/>
    <c:plotArea>
      <c:layout>
        <c:manualLayout>
          <c:layoutTarget val="inner"/>
          <c:xMode val="edge"/>
          <c:yMode val="edge"/>
          <c:x val="0.23047213786498399"/>
          <c:y val="0.15436224978315491"/>
          <c:w val="0.76189000624344827"/>
          <c:h val="0.71394275286404663"/>
        </c:manualLayout>
      </c:layout>
      <c:barChart>
        <c:barDir val="col"/>
        <c:grouping val="clustered"/>
        <c:varyColors val="0"/>
        <c:ser>
          <c:idx val="0"/>
          <c:order val="0"/>
          <c:tx>
            <c:strRef>
              <c:f>'Data Input'!$B$86</c:f>
              <c:strCache>
                <c:ptCount val="1"/>
                <c:pt idx="0">
                  <c:v> Total Revenue </c:v>
                </c:pt>
              </c:strCache>
            </c:strRef>
          </c:tx>
          <c:invertIfNegative val="0"/>
          <c:cat>
            <c:numRef>
              <c:f>'Data Input'!$H$2:$V$2</c:f>
              <c:numCache>
                <c:formatCode>General</c:formatCode>
                <c:ptCount val="7"/>
                <c:pt idx="0">
                  <c:v>2014</c:v>
                </c:pt>
                <c:pt idx="1">
                  <c:v>2015</c:v>
                </c:pt>
                <c:pt idx="2">
                  <c:v>2016</c:v>
                </c:pt>
                <c:pt idx="3">
                  <c:v>2017</c:v>
                </c:pt>
                <c:pt idx="4">
                  <c:v>2018</c:v>
                </c:pt>
                <c:pt idx="5">
                  <c:v>2019</c:v>
                </c:pt>
                <c:pt idx="6">
                  <c:v>2020</c:v>
                </c:pt>
              </c:numCache>
            </c:numRef>
          </c:cat>
          <c:val>
            <c:numRef>
              <c:f>'Data Input'!$H$86:$V$86</c:f>
              <c:numCache>
                <c:formatCode>_(* #,##0_);_(* \(#,##0\);_(* "-"_);_(@_)</c:formatCode>
                <c:ptCount val="7"/>
                <c:pt idx="0">
                  <c:v>10724129</c:v>
                </c:pt>
                <c:pt idx="1">
                  <c:v>10865323</c:v>
                </c:pt>
                <c:pt idx="2">
                  <c:v>11443439</c:v>
                </c:pt>
                <c:pt idx="3">
                  <c:v>12921254</c:v>
                </c:pt>
                <c:pt idx="4">
                  <c:v>15928095</c:v>
                </c:pt>
                <c:pt idx="5">
                  <c:v>13663998</c:v>
                </c:pt>
                <c:pt idx="6">
                  <c:v>13569612</c:v>
                </c:pt>
              </c:numCache>
            </c:numRef>
          </c:val>
          <c:extLst>
            <c:ext xmlns:c16="http://schemas.microsoft.com/office/drawing/2014/chart" uri="{C3380CC4-5D6E-409C-BE32-E72D297353CC}">
              <c16:uniqueId val="{00000000-C332-4EA4-AF47-A8EFF8BA07A8}"/>
            </c:ext>
          </c:extLst>
        </c:ser>
        <c:dLbls>
          <c:showLegendKey val="0"/>
          <c:showVal val="0"/>
          <c:showCatName val="0"/>
          <c:showSerName val="0"/>
          <c:showPercent val="0"/>
          <c:showBubbleSize val="0"/>
        </c:dLbls>
        <c:gapWidth val="150"/>
        <c:axId val="518837032"/>
        <c:axId val="518834288"/>
      </c:barChart>
      <c:catAx>
        <c:axId val="518837032"/>
        <c:scaling>
          <c:orientation val="minMax"/>
        </c:scaling>
        <c:delete val="0"/>
        <c:axPos val="b"/>
        <c:numFmt formatCode="General" sourceLinked="1"/>
        <c:majorTickMark val="out"/>
        <c:minorTickMark val="none"/>
        <c:tickLblPos val="nextTo"/>
        <c:crossAx val="518834288"/>
        <c:crosses val="autoZero"/>
        <c:auto val="1"/>
        <c:lblAlgn val="ctr"/>
        <c:lblOffset val="100"/>
        <c:tickLblSkip val="1"/>
        <c:tickMarkSkip val="1"/>
        <c:noMultiLvlLbl val="1"/>
      </c:catAx>
      <c:valAx>
        <c:axId val="518834288"/>
        <c:scaling>
          <c:orientation val="minMax"/>
        </c:scaling>
        <c:delete val="0"/>
        <c:axPos val="l"/>
        <c:majorGridlines/>
        <c:title>
          <c:tx>
            <c:rich>
              <a:bodyPr/>
              <a:lstStyle/>
              <a:p>
                <a:r>
                  <a:rPr lang="en-US" sz="900" b="0" i="0" u="none" baseline="0">
                    <a:solidFill>
                      <a:srgbClr val="000000"/>
                    </a:solidFill>
                    <a:latin typeface="Arial"/>
                    <a:ea typeface="Arial"/>
                    <a:cs typeface="Arial"/>
                  </a:rPr>
                  <a:t>Amount</a:t>
                </a:r>
              </a:p>
            </c:rich>
          </c:tx>
          <c:layout>
            <c:manualLayout>
              <c:xMode val="edge"/>
              <c:yMode val="edge"/>
              <c:x val="7.6982294072363523E-3"/>
              <c:y val="0.34120464555664448"/>
            </c:manualLayout>
          </c:layout>
          <c:overlay val="0"/>
        </c:title>
        <c:numFmt formatCode="_(* #,##0_);_(* \(#,##0\);_(* &quot;-&quot;_);_(@_)" sourceLinked="1"/>
        <c:majorTickMark val="out"/>
        <c:minorTickMark val="none"/>
        <c:tickLblPos val="nextTo"/>
        <c:txPr>
          <a:bodyPr/>
          <a:lstStyle/>
          <a:p>
            <a:pPr>
              <a:defRPr sz="900" baseline="0"/>
            </a:pPr>
            <a:endParaRPr lang="en-US"/>
          </a:p>
        </c:txPr>
        <c:crossAx val="518837032"/>
        <c:crosses val="autoZero"/>
        <c:crossBetween val="between"/>
      </c:valAx>
    </c:plotArea>
    <c:plotVisOnly val="1"/>
    <c:dispBlanksAs val="gap"/>
    <c:showDLblsOverMax val="0"/>
  </c:chart>
  <c:spPr>
    <a:ln w="3175">
      <a:solidFill>
        <a:srgbClr val="000000"/>
      </a:solidFill>
      <a:prstDash val="solid"/>
    </a:ln>
  </c:spPr>
  <c:printSettings>
    <c:headerFooter/>
    <c:pageMargins b="0.75000000000000122" l="0.70000000000000062" r="0.70000000000000062" t="0.7500000000000012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588359017199602E-2"/>
          <c:y val="6.8376068376068383E-2"/>
          <c:w val="0.53197893152746423"/>
          <c:h val="0.86324786324786362"/>
        </c:manualLayout>
      </c:layout>
      <c:pieChart>
        <c:varyColors val="1"/>
        <c:ser>
          <c:idx val="0"/>
          <c:order val="0"/>
          <c:spPr>
            <a:ln>
              <a:solidFill>
                <a:sysClr val="windowText" lastClr="000000"/>
              </a:solidFill>
            </a:ln>
          </c:spPr>
          <c:explosion val="10"/>
          <c:cat>
            <c:strRef>
              <c:f>'Data Input'!$B$19:$B$31</c:f>
              <c:strCache>
                <c:ptCount val="10"/>
                <c:pt idx="0">
                  <c:v> General Government </c:v>
                </c:pt>
                <c:pt idx="1">
                  <c:v> Police &amp; Fire </c:v>
                </c:pt>
                <c:pt idx="2">
                  <c:v> Other Public Safety </c:v>
                </c:pt>
                <c:pt idx="3">
                  <c:v> Streets </c:v>
                </c:pt>
                <c:pt idx="4">
                  <c:v> Other Public Works </c:v>
                </c:pt>
                <c:pt idx="5">
                  <c:v> Health &amp; Welfare </c:v>
                </c:pt>
                <c:pt idx="6">
                  <c:v> Recreation &amp; Culture </c:v>
                </c:pt>
                <c:pt idx="7">
                  <c:v> Capital Outlay </c:v>
                </c:pt>
                <c:pt idx="8">
                  <c:v> Debt service </c:v>
                </c:pt>
                <c:pt idx="9">
                  <c:v> Extraordinary/ Special items </c:v>
                </c:pt>
              </c:strCache>
            </c:strRef>
          </c:cat>
          <c:val>
            <c:numRef>
              <c:f>'Data Input'!$V$19:$V$31</c:f>
              <c:numCache>
                <c:formatCode>_(* #,##0_);_(* \(#,##0\);_(* "-"_);_(@_)</c:formatCode>
                <c:ptCount val="10"/>
                <c:pt idx="0">
                  <c:v>4097772</c:v>
                </c:pt>
                <c:pt idx="1">
                  <c:v>2739670</c:v>
                </c:pt>
                <c:pt idx="2">
                  <c:v>339135</c:v>
                </c:pt>
                <c:pt idx="3">
                  <c:v>285839</c:v>
                </c:pt>
                <c:pt idx="4">
                  <c:v>1655970</c:v>
                </c:pt>
                <c:pt idx="5">
                  <c:v>53829</c:v>
                </c:pt>
                <c:pt idx="6">
                  <c:v>1636913</c:v>
                </c:pt>
                <c:pt idx="7">
                  <c:v>654568</c:v>
                </c:pt>
                <c:pt idx="8">
                  <c:v>1106910</c:v>
                </c:pt>
                <c:pt idx="9">
                  <c:v>0</c:v>
                </c:pt>
              </c:numCache>
            </c:numRef>
          </c:val>
          <c:extLst>
            <c:ext xmlns:c16="http://schemas.microsoft.com/office/drawing/2014/chart" uri="{C3380CC4-5D6E-409C-BE32-E72D297353CC}">
              <c16:uniqueId val="{00000000-B64D-4635-9DB9-F5159DEA94F9}"/>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2436141408052037"/>
          <c:y val="1.7504254492606154E-2"/>
          <c:w val="0.37563849097176155"/>
          <c:h val="0.94956949569495697"/>
        </c:manualLayout>
      </c:layout>
      <c:overlay val="0"/>
      <c:txPr>
        <a:bodyPr/>
        <a:lstStyle/>
        <a:p>
          <a:pPr>
            <a:defRPr sz="900" kern="800" baseline="0"/>
          </a:pPr>
          <a:endParaRPr lang="en-US"/>
        </a:p>
      </c:txPr>
    </c:legend>
    <c:plotVisOnly val="1"/>
    <c:dispBlanksAs val="gap"/>
    <c:showDLblsOverMax val="0"/>
  </c:chart>
  <c:spPr>
    <a:ln w="3175">
      <a:solidFill>
        <a:srgbClr val="000000"/>
      </a:solidFill>
      <a:prstDash val="solid"/>
    </a:ln>
  </c:spPr>
  <c:printSettings>
    <c:headerFooter/>
    <c:pageMargins b="0.75000000000000122" l="0.70000000000000062" r="0.70000000000000062" t="0.7500000000000012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25000000000002"/>
          <c:y val="5.6000000000000001E-2"/>
          <c:w val="0.84125000000000005"/>
          <c:h val="0.45350000000000001"/>
        </c:manualLayout>
      </c:layout>
      <c:barChart>
        <c:barDir val="col"/>
        <c:grouping val="clustered"/>
        <c:varyColors val="0"/>
        <c:ser>
          <c:idx val="0"/>
          <c:order val="0"/>
          <c:tx>
            <c:strRef>
              <c:f>'Data Input'!$X$2</c:f>
              <c:strCache>
                <c:ptCount val="1"/>
                <c:pt idx="0">
                  <c:v>2020</c:v>
                </c:pt>
              </c:strCache>
            </c:strRef>
          </c:tx>
          <c:spPr>
            <a:ln w="6350">
              <a:solidFill>
                <a:sysClr val="windowText" lastClr="000000"/>
              </a:solidFill>
            </a:ln>
          </c:spPr>
          <c:invertIfNegative val="0"/>
          <c:cat>
            <c:strRef>
              <c:f>'Data Input'!$B$19:$B$31</c:f>
              <c:strCache>
                <c:ptCount val="10"/>
                <c:pt idx="0">
                  <c:v> General Government </c:v>
                </c:pt>
                <c:pt idx="1">
                  <c:v> Police &amp; Fire </c:v>
                </c:pt>
                <c:pt idx="2">
                  <c:v> Other Public Safety </c:v>
                </c:pt>
                <c:pt idx="3">
                  <c:v> Streets </c:v>
                </c:pt>
                <c:pt idx="4">
                  <c:v> Other Public Works </c:v>
                </c:pt>
                <c:pt idx="5">
                  <c:v> Health &amp; Welfare </c:v>
                </c:pt>
                <c:pt idx="6">
                  <c:v> Recreation &amp; Culture </c:v>
                </c:pt>
                <c:pt idx="7">
                  <c:v> Capital Outlay </c:v>
                </c:pt>
                <c:pt idx="8">
                  <c:v> Debt service </c:v>
                </c:pt>
                <c:pt idx="9">
                  <c:v> Extraordinary/ Special items </c:v>
                </c:pt>
              </c:strCache>
            </c:strRef>
          </c:cat>
          <c:val>
            <c:numRef>
              <c:f>'Data Input'!$X$19:$X$31</c:f>
              <c:numCache>
                <c:formatCode>_(* #,##0_);_(* \(#,##0\);_(* "-"_);_(@_)</c:formatCode>
                <c:ptCount val="10"/>
                <c:pt idx="0">
                  <c:v>454.68</c:v>
                </c:pt>
                <c:pt idx="1">
                  <c:v>303.99</c:v>
                </c:pt>
                <c:pt idx="2">
                  <c:v>37.630000000000003</c:v>
                </c:pt>
                <c:pt idx="3">
                  <c:v>31.72</c:v>
                </c:pt>
                <c:pt idx="4">
                  <c:v>183.74</c:v>
                </c:pt>
                <c:pt idx="5">
                  <c:v>5.97</c:v>
                </c:pt>
                <c:pt idx="6">
                  <c:v>181.63</c:v>
                </c:pt>
                <c:pt idx="7">
                  <c:v>72.63</c:v>
                </c:pt>
                <c:pt idx="8">
                  <c:v>122.82</c:v>
                </c:pt>
                <c:pt idx="9">
                  <c:v>0</c:v>
                </c:pt>
              </c:numCache>
            </c:numRef>
          </c:val>
          <c:extLst>
            <c:ext xmlns:c16="http://schemas.microsoft.com/office/drawing/2014/chart" uri="{C3380CC4-5D6E-409C-BE32-E72D297353CC}">
              <c16:uniqueId val="{00000000-11DE-49E1-840C-D23B3A3F75E7}"/>
            </c:ext>
          </c:extLst>
        </c:ser>
        <c:ser>
          <c:idx val="1"/>
          <c:order val="1"/>
          <c:tx>
            <c:strRef>
              <c:f>'Data Input'!$W$2</c:f>
              <c:strCache>
                <c:ptCount val="1"/>
                <c:pt idx="0">
                  <c:v>2019</c:v>
                </c:pt>
              </c:strCache>
            </c:strRef>
          </c:tx>
          <c:spPr>
            <a:ln w="6350">
              <a:solidFill>
                <a:sysClr val="windowText" lastClr="000000"/>
              </a:solidFill>
            </a:ln>
          </c:spPr>
          <c:invertIfNegative val="0"/>
          <c:cat>
            <c:strRef>
              <c:f>'Data Input'!$B$19:$B$31</c:f>
              <c:strCache>
                <c:ptCount val="10"/>
                <c:pt idx="0">
                  <c:v> General Government </c:v>
                </c:pt>
                <c:pt idx="1">
                  <c:v> Police &amp; Fire </c:v>
                </c:pt>
                <c:pt idx="2">
                  <c:v> Other Public Safety </c:v>
                </c:pt>
                <c:pt idx="3">
                  <c:v> Streets </c:v>
                </c:pt>
                <c:pt idx="4">
                  <c:v> Other Public Works </c:v>
                </c:pt>
                <c:pt idx="5">
                  <c:v> Health &amp; Welfare </c:v>
                </c:pt>
                <c:pt idx="6">
                  <c:v> Recreation &amp; Culture </c:v>
                </c:pt>
                <c:pt idx="7">
                  <c:v> Capital Outlay </c:v>
                </c:pt>
                <c:pt idx="8">
                  <c:v> Debt service </c:v>
                </c:pt>
                <c:pt idx="9">
                  <c:v> Extraordinary/ Special items </c:v>
                </c:pt>
              </c:strCache>
            </c:strRef>
          </c:cat>
          <c:val>
            <c:numRef>
              <c:f>'Data Input'!$W$19:$W$31</c:f>
              <c:numCache>
                <c:formatCode>_(* #,##0_);_(* \(#,##0\);_(* "-"_);_(@_)</c:formatCode>
                <c:ptCount val="10"/>
                <c:pt idx="0">
                  <c:v>481.65</c:v>
                </c:pt>
                <c:pt idx="1">
                  <c:v>266.67</c:v>
                </c:pt>
                <c:pt idx="2">
                  <c:v>31.55</c:v>
                </c:pt>
                <c:pt idx="3">
                  <c:v>48.88</c:v>
                </c:pt>
                <c:pt idx="4">
                  <c:v>170.25</c:v>
                </c:pt>
                <c:pt idx="5">
                  <c:v>5.5</c:v>
                </c:pt>
                <c:pt idx="6">
                  <c:v>198.94</c:v>
                </c:pt>
                <c:pt idx="7">
                  <c:v>151.31</c:v>
                </c:pt>
                <c:pt idx="8">
                  <c:v>123.67</c:v>
                </c:pt>
                <c:pt idx="9">
                  <c:v>0</c:v>
                </c:pt>
              </c:numCache>
            </c:numRef>
          </c:val>
          <c:extLst>
            <c:ext xmlns:c16="http://schemas.microsoft.com/office/drawing/2014/chart" uri="{C3380CC4-5D6E-409C-BE32-E72D297353CC}">
              <c16:uniqueId val="{00000001-11DE-49E1-840C-D23B3A3F75E7}"/>
            </c:ext>
          </c:extLst>
        </c:ser>
        <c:dLbls>
          <c:showLegendKey val="0"/>
          <c:showVal val="0"/>
          <c:showCatName val="0"/>
          <c:showSerName val="0"/>
          <c:showPercent val="0"/>
          <c:showBubbleSize val="0"/>
        </c:dLbls>
        <c:gapWidth val="150"/>
        <c:axId val="352768296"/>
        <c:axId val="352768688"/>
      </c:barChart>
      <c:catAx>
        <c:axId val="352768296"/>
        <c:scaling>
          <c:orientation val="minMax"/>
        </c:scaling>
        <c:delete val="0"/>
        <c:axPos val="b"/>
        <c:numFmt formatCode="General" sourceLinked="1"/>
        <c:majorTickMark val="out"/>
        <c:minorTickMark val="none"/>
        <c:tickLblPos val="nextTo"/>
        <c:txPr>
          <a:bodyPr rot="-2700000" vert="horz"/>
          <a:lstStyle/>
          <a:p>
            <a:pPr>
              <a:defRPr sz="870" b="0" i="0" u="none" baseline="0">
                <a:solidFill>
                  <a:srgbClr val="000000"/>
                </a:solidFill>
                <a:latin typeface="Calibri"/>
                <a:ea typeface="Calibri"/>
                <a:cs typeface="Calibri"/>
              </a:defRPr>
            </a:pPr>
            <a:endParaRPr lang="en-US"/>
          </a:p>
        </c:txPr>
        <c:crossAx val="352768688"/>
        <c:crosses val="autoZero"/>
        <c:auto val="1"/>
        <c:lblAlgn val="ctr"/>
        <c:lblOffset val="100"/>
        <c:tickLblSkip val="1"/>
        <c:tickMarkSkip val="1"/>
        <c:noMultiLvlLbl val="1"/>
      </c:catAx>
      <c:valAx>
        <c:axId val="352768688"/>
        <c:scaling>
          <c:orientation val="minMax"/>
        </c:scaling>
        <c:delete val="0"/>
        <c:axPos val="l"/>
        <c:majorGridlines/>
        <c:numFmt formatCode="_(* #,##0_);_(* \(#,##0\);_(* &quot;-&quot;_);_(@_)" sourceLinked="1"/>
        <c:majorTickMark val="out"/>
        <c:minorTickMark val="none"/>
        <c:tickLblPos val="nextTo"/>
        <c:txPr>
          <a:bodyPr/>
          <a:lstStyle/>
          <a:p>
            <a:pPr>
              <a:defRPr sz="1000" b="0" i="0" u="none" baseline="0">
                <a:solidFill>
                  <a:srgbClr val="000000"/>
                </a:solidFill>
                <a:latin typeface="Calibri"/>
                <a:ea typeface="Calibri"/>
                <a:cs typeface="Calibri"/>
              </a:defRPr>
            </a:pPr>
            <a:endParaRPr lang="en-US"/>
          </a:p>
        </c:txPr>
        <c:crossAx val="352768296"/>
        <c:crosses val="autoZero"/>
        <c:crossBetween val="between"/>
      </c:valAx>
    </c:plotArea>
    <c:legend>
      <c:legendPos val="r"/>
      <c:layout>
        <c:manualLayout>
          <c:xMode val="edge"/>
          <c:yMode val="edge"/>
          <c:x val="0.63041660701503222"/>
          <c:y val="7.3940458637889325E-2"/>
          <c:w val="0.21188642328799828"/>
          <c:h val="6.9057104913678766E-2"/>
        </c:manualLayout>
      </c:layout>
      <c:overlay val="0"/>
      <c:spPr>
        <a:solidFill>
          <a:schemeClr val="bg1"/>
        </a:solidFill>
        <a:ln>
          <a:solidFill>
            <a:schemeClr val="tx1"/>
          </a:solidFill>
        </a:ln>
      </c:spPr>
      <c:txPr>
        <a:bodyPr/>
        <a:lstStyle/>
        <a:p>
          <a:pPr>
            <a:defRPr sz="920" b="0" i="0" u="none" baseline="0">
              <a:solidFill>
                <a:srgbClr val="000000"/>
              </a:solidFill>
              <a:latin typeface="Calibri"/>
              <a:ea typeface="Calibri"/>
              <a:cs typeface="Calibri"/>
            </a:defRPr>
          </a:pPr>
          <a:endParaRPr lang="en-US"/>
        </a:p>
      </c:txPr>
    </c:legend>
    <c:plotVisOnly val="1"/>
    <c:dispBlanksAs val="gap"/>
    <c:showDLblsOverMax val="0"/>
  </c:chart>
  <c:spPr>
    <a:ln w="3175">
      <a:solidFill>
        <a:srgbClr val="000000"/>
      </a:solidFill>
      <a:prstDash val="solid"/>
    </a:ln>
  </c:spPr>
  <c:printSettings>
    <c:headerFooter/>
    <c:pageMargins b="0.75000000000000122" l="0.70000000000000062" r="0.70000000000000062" t="0.7500000000000012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7662688941925329"/>
          <c:y val="0"/>
        </c:manualLayout>
      </c:layout>
      <c:overlay val="0"/>
      <c:txPr>
        <a:bodyPr/>
        <a:lstStyle/>
        <a:p>
          <a:pPr>
            <a:defRPr sz="1600" baseline="0"/>
          </a:pPr>
          <a:endParaRPr lang="en-US"/>
        </a:p>
      </c:txPr>
    </c:title>
    <c:autoTitleDeleted val="0"/>
    <c:plotArea>
      <c:layout>
        <c:manualLayout>
          <c:layoutTarget val="inner"/>
          <c:xMode val="edge"/>
          <c:yMode val="edge"/>
          <c:x val="0.1999867200370837"/>
          <c:y val="0.13019796254281774"/>
          <c:w val="0.80001327996291505"/>
          <c:h val="0.73535299612972105"/>
        </c:manualLayout>
      </c:layout>
      <c:barChart>
        <c:barDir val="col"/>
        <c:grouping val="clustered"/>
        <c:varyColors val="0"/>
        <c:ser>
          <c:idx val="0"/>
          <c:order val="0"/>
          <c:tx>
            <c:strRef>
              <c:f>'Data Input'!$B$88</c:f>
              <c:strCache>
                <c:ptCount val="1"/>
                <c:pt idx="0">
                  <c:v> Total Expenditures </c:v>
                </c:pt>
              </c:strCache>
            </c:strRef>
          </c:tx>
          <c:invertIfNegative val="0"/>
          <c:cat>
            <c:numRef>
              <c:f>'Data Input'!$H$2:$V$2</c:f>
              <c:numCache>
                <c:formatCode>General</c:formatCode>
                <c:ptCount val="7"/>
                <c:pt idx="0">
                  <c:v>2014</c:v>
                </c:pt>
                <c:pt idx="1">
                  <c:v>2015</c:v>
                </c:pt>
                <c:pt idx="2">
                  <c:v>2016</c:v>
                </c:pt>
                <c:pt idx="3">
                  <c:v>2017</c:v>
                </c:pt>
                <c:pt idx="4">
                  <c:v>2018</c:v>
                </c:pt>
                <c:pt idx="5">
                  <c:v>2019</c:v>
                </c:pt>
                <c:pt idx="6">
                  <c:v>2020</c:v>
                </c:pt>
              </c:numCache>
            </c:numRef>
          </c:cat>
          <c:val>
            <c:numRef>
              <c:f>'Data Input'!$H$88:$V$88</c:f>
              <c:numCache>
                <c:formatCode>_(* #,##0_);_(* \(#,##0\);_(* "-"_);_(@_)</c:formatCode>
                <c:ptCount val="7"/>
                <c:pt idx="0">
                  <c:v>10571275</c:v>
                </c:pt>
                <c:pt idx="1">
                  <c:v>10193990</c:v>
                </c:pt>
                <c:pt idx="2">
                  <c:v>11580379</c:v>
                </c:pt>
                <c:pt idx="3">
                  <c:v>11969375</c:v>
                </c:pt>
                <c:pt idx="4">
                  <c:v>14052729</c:v>
                </c:pt>
                <c:pt idx="5">
                  <c:v>13277795</c:v>
                </c:pt>
                <c:pt idx="6">
                  <c:v>12570606</c:v>
                </c:pt>
              </c:numCache>
            </c:numRef>
          </c:val>
          <c:extLst>
            <c:ext xmlns:c16="http://schemas.microsoft.com/office/drawing/2014/chart" uri="{C3380CC4-5D6E-409C-BE32-E72D297353CC}">
              <c16:uniqueId val="{00000000-CFD9-449B-8F15-E375E0810832}"/>
            </c:ext>
          </c:extLst>
        </c:ser>
        <c:dLbls>
          <c:showLegendKey val="0"/>
          <c:showVal val="0"/>
          <c:showCatName val="0"/>
          <c:showSerName val="0"/>
          <c:showPercent val="0"/>
          <c:showBubbleSize val="0"/>
        </c:dLbls>
        <c:gapWidth val="150"/>
        <c:axId val="352774176"/>
        <c:axId val="352771432"/>
      </c:barChart>
      <c:catAx>
        <c:axId val="352774176"/>
        <c:scaling>
          <c:orientation val="minMax"/>
        </c:scaling>
        <c:delete val="0"/>
        <c:axPos val="b"/>
        <c:numFmt formatCode="General" sourceLinked="1"/>
        <c:majorTickMark val="out"/>
        <c:minorTickMark val="none"/>
        <c:tickLblPos val="nextTo"/>
        <c:txPr>
          <a:bodyPr/>
          <a:lstStyle/>
          <a:p>
            <a:pPr>
              <a:defRPr sz="1000" b="0" i="0" u="none" baseline="0">
                <a:solidFill>
                  <a:srgbClr val="000000"/>
                </a:solidFill>
                <a:latin typeface="Calibri"/>
                <a:ea typeface="Calibri"/>
                <a:cs typeface="Calibri"/>
              </a:defRPr>
            </a:pPr>
            <a:endParaRPr lang="en-US"/>
          </a:p>
        </c:txPr>
        <c:crossAx val="352771432"/>
        <c:crosses val="autoZero"/>
        <c:auto val="1"/>
        <c:lblAlgn val="ctr"/>
        <c:lblOffset val="100"/>
        <c:tickLblSkip val="1"/>
        <c:tickMarkSkip val="1"/>
        <c:noMultiLvlLbl val="1"/>
      </c:catAx>
      <c:valAx>
        <c:axId val="352771432"/>
        <c:scaling>
          <c:orientation val="minMax"/>
        </c:scaling>
        <c:delete val="0"/>
        <c:axPos val="l"/>
        <c:majorGridlines/>
        <c:numFmt formatCode="&quot;$&quot;#,##0" sourceLinked="0"/>
        <c:majorTickMark val="out"/>
        <c:minorTickMark val="none"/>
        <c:tickLblPos val="nextTo"/>
        <c:txPr>
          <a:bodyPr/>
          <a:lstStyle/>
          <a:p>
            <a:pPr>
              <a:defRPr sz="1000" b="0" i="0" u="none" baseline="0">
                <a:solidFill>
                  <a:srgbClr val="000000"/>
                </a:solidFill>
                <a:latin typeface="Calibri"/>
                <a:ea typeface="Calibri"/>
                <a:cs typeface="Calibri"/>
              </a:defRPr>
            </a:pPr>
            <a:endParaRPr lang="en-US"/>
          </a:p>
        </c:txPr>
        <c:crossAx val="352774176"/>
        <c:crosses val="autoZero"/>
        <c:crossBetween val="between"/>
      </c:valAx>
    </c:plotArea>
    <c:plotVisOnly val="1"/>
    <c:dispBlanksAs val="gap"/>
    <c:showDLblsOverMax val="0"/>
  </c:chart>
  <c:spPr>
    <a:ln w="3175">
      <a:solidFill>
        <a:srgbClr val="000000"/>
      </a:solidFill>
      <a:prstDash val="solid"/>
    </a:ln>
  </c:spPr>
  <c:printSettings>
    <c:headerFooter/>
    <c:pageMargins b="0.75000000000000122" l="0.70000000000000062" r="0.70000000000000062" t="0.7500000000000012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300000000000012"/>
          <c:y val="4.4750000000000109E-2"/>
          <c:w val="0.74598181339802161"/>
          <c:h val="0.78149999999999997"/>
        </c:manualLayout>
      </c:layout>
      <c:barChart>
        <c:barDir val="col"/>
        <c:grouping val="clustered"/>
        <c:varyColors val="0"/>
        <c:ser>
          <c:idx val="0"/>
          <c:order val="0"/>
          <c:tx>
            <c:strRef>
              <c:f>'Data Input'!$B$17</c:f>
              <c:strCache>
                <c:ptCount val="1"/>
                <c:pt idx="0">
                  <c:v> Total Revenue </c:v>
                </c:pt>
              </c:strCache>
            </c:strRef>
          </c:tx>
          <c:spPr>
            <a:ln w="6350">
              <a:solidFill>
                <a:sysClr val="windowText" lastClr="000000"/>
              </a:solidFill>
            </a:ln>
          </c:spPr>
          <c:invertIfNegative val="0"/>
          <c:cat>
            <c:numRef>
              <c:f>('Data Input'!$C$2:$U$2,'Data Input'!$V$2)</c:f>
              <c:numCache>
                <c:formatCode>General</c:formatCode>
                <c:ptCount val="7"/>
                <c:pt idx="0">
                  <c:v>2014</c:v>
                </c:pt>
                <c:pt idx="1">
                  <c:v>2015</c:v>
                </c:pt>
                <c:pt idx="2">
                  <c:v>2016</c:v>
                </c:pt>
                <c:pt idx="3">
                  <c:v>2017</c:v>
                </c:pt>
                <c:pt idx="4">
                  <c:v>2018</c:v>
                </c:pt>
                <c:pt idx="5">
                  <c:v>2019</c:v>
                </c:pt>
                <c:pt idx="6">
                  <c:v>2020</c:v>
                </c:pt>
              </c:numCache>
            </c:numRef>
          </c:cat>
          <c:val>
            <c:numRef>
              <c:f>('Data Input'!$C$17:$U$17,'Data Input'!$V$17)</c:f>
              <c:numCache>
                <c:formatCode>_(* #,##0_);_(* \(#,##0\);_(* "-"_);_(@_)</c:formatCode>
                <c:ptCount val="7"/>
                <c:pt idx="0">
                  <c:v>10724129</c:v>
                </c:pt>
                <c:pt idx="1">
                  <c:v>10865323</c:v>
                </c:pt>
                <c:pt idx="2">
                  <c:v>11443439</c:v>
                </c:pt>
                <c:pt idx="3">
                  <c:v>12921254</c:v>
                </c:pt>
                <c:pt idx="4">
                  <c:v>15928095</c:v>
                </c:pt>
                <c:pt idx="5">
                  <c:v>13663998</c:v>
                </c:pt>
                <c:pt idx="6">
                  <c:v>13569612</c:v>
                </c:pt>
              </c:numCache>
            </c:numRef>
          </c:val>
          <c:extLst>
            <c:ext xmlns:c16="http://schemas.microsoft.com/office/drawing/2014/chart" uri="{C3380CC4-5D6E-409C-BE32-E72D297353CC}">
              <c16:uniqueId val="{00000000-C59E-4F41-B74D-AE6C0230106C}"/>
            </c:ext>
          </c:extLst>
        </c:ser>
        <c:ser>
          <c:idx val="1"/>
          <c:order val="1"/>
          <c:tx>
            <c:strRef>
              <c:f>'Data Input'!$B$32</c:f>
              <c:strCache>
                <c:ptCount val="1"/>
                <c:pt idx="0">
                  <c:v> Total Expenditures </c:v>
                </c:pt>
              </c:strCache>
            </c:strRef>
          </c:tx>
          <c:spPr>
            <a:ln w="6350">
              <a:solidFill>
                <a:sysClr val="windowText" lastClr="000000"/>
              </a:solidFill>
            </a:ln>
          </c:spPr>
          <c:invertIfNegative val="0"/>
          <c:cat>
            <c:numRef>
              <c:f>('Data Input'!$C$2:$U$2,'Data Input'!$V$2)</c:f>
              <c:numCache>
                <c:formatCode>General</c:formatCode>
                <c:ptCount val="7"/>
                <c:pt idx="0">
                  <c:v>2014</c:v>
                </c:pt>
                <c:pt idx="1">
                  <c:v>2015</c:v>
                </c:pt>
                <c:pt idx="2">
                  <c:v>2016</c:v>
                </c:pt>
                <c:pt idx="3">
                  <c:v>2017</c:v>
                </c:pt>
                <c:pt idx="4">
                  <c:v>2018</c:v>
                </c:pt>
                <c:pt idx="5">
                  <c:v>2019</c:v>
                </c:pt>
                <c:pt idx="6">
                  <c:v>2020</c:v>
                </c:pt>
              </c:numCache>
            </c:numRef>
          </c:cat>
          <c:val>
            <c:numRef>
              <c:f>('Data Input'!$C$32:$U$32,'Data Input'!$V$32)</c:f>
              <c:numCache>
                <c:formatCode>_(* #,##0_);_(* \(#,##0\);_(* "-"_);_(@_)</c:formatCode>
                <c:ptCount val="7"/>
                <c:pt idx="0">
                  <c:v>10571275</c:v>
                </c:pt>
                <c:pt idx="1">
                  <c:v>10193990</c:v>
                </c:pt>
                <c:pt idx="2">
                  <c:v>11580379</c:v>
                </c:pt>
                <c:pt idx="3">
                  <c:v>11969375</c:v>
                </c:pt>
                <c:pt idx="4">
                  <c:v>14052729</c:v>
                </c:pt>
                <c:pt idx="5">
                  <c:v>13277795</c:v>
                </c:pt>
                <c:pt idx="6">
                  <c:v>12570606</c:v>
                </c:pt>
              </c:numCache>
            </c:numRef>
          </c:val>
          <c:extLst>
            <c:ext xmlns:c16="http://schemas.microsoft.com/office/drawing/2014/chart" uri="{C3380CC4-5D6E-409C-BE32-E72D297353CC}">
              <c16:uniqueId val="{00000001-C59E-4F41-B74D-AE6C0230106C}"/>
            </c:ext>
          </c:extLst>
        </c:ser>
        <c:dLbls>
          <c:showLegendKey val="0"/>
          <c:showVal val="0"/>
          <c:showCatName val="0"/>
          <c:showSerName val="0"/>
          <c:showPercent val="0"/>
          <c:showBubbleSize val="0"/>
        </c:dLbls>
        <c:gapWidth val="150"/>
        <c:axId val="513374784"/>
        <c:axId val="513378312"/>
      </c:barChart>
      <c:lineChart>
        <c:grouping val="standard"/>
        <c:varyColors val="0"/>
        <c:ser>
          <c:idx val="2"/>
          <c:order val="2"/>
          <c:tx>
            <c:strRef>
              <c:f>'Data Input'!$B$39</c:f>
              <c:strCache>
                <c:ptCount val="1"/>
                <c:pt idx="0">
                  <c:v> Total Fund Balance </c:v>
                </c:pt>
              </c:strCache>
            </c:strRef>
          </c:tx>
          <c:spPr>
            <a:ln w="38100">
              <a:solidFill>
                <a:srgbClr val="000000"/>
              </a:solidFill>
              <a:prstDash val="solid"/>
            </a:ln>
          </c:spPr>
          <c:marker>
            <c:symbol val="none"/>
          </c:marker>
          <c:cat>
            <c:numRef>
              <c:f>('Data Input'!$C$2:$U$2,'Data Input'!$V$2)</c:f>
              <c:numCache>
                <c:formatCode>General</c:formatCode>
                <c:ptCount val="7"/>
                <c:pt idx="0">
                  <c:v>2014</c:v>
                </c:pt>
                <c:pt idx="1">
                  <c:v>2015</c:v>
                </c:pt>
                <c:pt idx="2">
                  <c:v>2016</c:v>
                </c:pt>
                <c:pt idx="3">
                  <c:v>2017</c:v>
                </c:pt>
                <c:pt idx="4">
                  <c:v>2018</c:v>
                </c:pt>
                <c:pt idx="5">
                  <c:v>2019</c:v>
                </c:pt>
                <c:pt idx="6">
                  <c:v>2020</c:v>
                </c:pt>
              </c:numCache>
            </c:numRef>
          </c:cat>
          <c:val>
            <c:numRef>
              <c:f>('Data Input'!$C$39:$U$39,'Data Input'!$V$39)</c:f>
              <c:numCache>
                <c:formatCode>_(* #,##0_);_(* \(#,##0\);_(* "-"_);_(@_)</c:formatCode>
                <c:ptCount val="7"/>
                <c:pt idx="0">
                  <c:v>4652062</c:v>
                </c:pt>
                <c:pt idx="1">
                  <c:v>5433395</c:v>
                </c:pt>
                <c:pt idx="2">
                  <c:v>5296455</c:v>
                </c:pt>
                <c:pt idx="3">
                  <c:v>6248334</c:v>
                </c:pt>
                <c:pt idx="4">
                  <c:v>8123701</c:v>
                </c:pt>
                <c:pt idx="5">
                  <c:v>8509904</c:v>
                </c:pt>
                <c:pt idx="6">
                  <c:v>9449998</c:v>
                </c:pt>
              </c:numCache>
            </c:numRef>
          </c:val>
          <c:smooth val="0"/>
          <c:extLst>
            <c:ext xmlns:c16="http://schemas.microsoft.com/office/drawing/2014/chart" uri="{C3380CC4-5D6E-409C-BE32-E72D297353CC}">
              <c16:uniqueId val="{00000002-C59E-4F41-B74D-AE6C0230106C}"/>
            </c:ext>
          </c:extLst>
        </c:ser>
        <c:dLbls>
          <c:showLegendKey val="0"/>
          <c:showVal val="0"/>
          <c:showCatName val="0"/>
          <c:showSerName val="0"/>
          <c:showPercent val="0"/>
          <c:showBubbleSize val="0"/>
        </c:dLbls>
        <c:marker val="1"/>
        <c:smooth val="0"/>
        <c:axId val="513374784"/>
        <c:axId val="513378312"/>
      </c:lineChart>
      <c:catAx>
        <c:axId val="513374784"/>
        <c:scaling>
          <c:orientation val="minMax"/>
        </c:scaling>
        <c:delete val="0"/>
        <c:axPos val="b"/>
        <c:numFmt formatCode="General" sourceLinked="1"/>
        <c:majorTickMark val="out"/>
        <c:minorTickMark val="none"/>
        <c:tickLblPos val="nextTo"/>
        <c:txPr>
          <a:bodyPr/>
          <a:lstStyle/>
          <a:p>
            <a:pPr>
              <a:defRPr sz="940" b="0" i="0" u="none" baseline="0">
                <a:solidFill>
                  <a:srgbClr val="000000"/>
                </a:solidFill>
                <a:latin typeface="Calibri"/>
                <a:ea typeface="Calibri"/>
                <a:cs typeface="Calibri"/>
              </a:defRPr>
            </a:pPr>
            <a:endParaRPr lang="en-US"/>
          </a:p>
        </c:txPr>
        <c:crossAx val="513378312"/>
        <c:crosses val="autoZero"/>
        <c:auto val="1"/>
        <c:lblAlgn val="ctr"/>
        <c:lblOffset val="100"/>
        <c:tickLblSkip val="1"/>
        <c:tickMarkSkip val="1"/>
        <c:noMultiLvlLbl val="1"/>
      </c:catAx>
      <c:valAx>
        <c:axId val="513378312"/>
        <c:scaling>
          <c:orientation val="minMax"/>
        </c:scaling>
        <c:delete val="0"/>
        <c:axPos val="l"/>
        <c:majorGridlines/>
        <c:numFmt formatCode="_(* #,##0_);_(* \(#,##0\);_(* &quot;-&quot;_);_(@_)" sourceLinked="1"/>
        <c:majorTickMark val="out"/>
        <c:minorTickMark val="none"/>
        <c:tickLblPos val="nextTo"/>
        <c:txPr>
          <a:bodyPr/>
          <a:lstStyle/>
          <a:p>
            <a:pPr>
              <a:defRPr sz="1000" b="0" i="0" u="none" baseline="0">
                <a:solidFill>
                  <a:srgbClr val="000000"/>
                </a:solidFill>
                <a:latin typeface="Calibri"/>
                <a:ea typeface="Calibri"/>
                <a:cs typeface="Calibri"/>
              </a:defRPr>
            </a:pPr>
            <a:endParaRPr lang="en-US"/>
          </a:p>
        </c:txPr>
        <c:crossAx val="513374784"/>
        <c:crosses val="autoZero"/>
        <c:crossBetween val="between"/>
      </c:valAx>
    </c:plotArea>
    <c:legend>
      <c:legendPos val="r"/>
      <c:layout>
        <c:manualLayout>
          <c:xMode val="edge"/>
          <c:yMode val="edge"/>
          <c:x val="3.6499981721771622E-2"/>
          <c:y val="0.91650783588809803"/>
          <c:w val="0.92909535452322833"/>
          <c:h val="7.2072072072072113E-2"/>
        </c:manualLayout>
      </c:layout>
      <c:overlay val="0"/>
      <c:txPr>
        <a:bodyPr/>
        <a:lstStyle/>
        <a:p>
          <a:pPr>
            <a:defRPr sz="920" b="0" i="0" u="none" baseline="0">
              <a:solidFill>
                <a:srgbClr val="000000"/>
              </a:solidFill>
              <a:latin typeface="Calibri"/>
              <a:ea typeface="Calibri"/>
              <a:cs typeface="Calibri"/>
            </a:defRPr>
          </a:pPr>
          <a:endParaRPr lang="en-US"/>
        </a:p>
      </c:txPr>
    </c:legend>
    <c:plotVisOnly val="1"/>
    <c:dispBlanksAs val="gap"/>
    <c:showDLblsOverMax val="0"/>
  </c:chart>
  <c:spPr>
    <a:ln w="3175">
      <a:solidFill>
        <a:srgbClr val="000000"/>
      </a:solidFill>
      <a:prstDash val="solid"/>
    </a:ln>
  </c:spPr>
  <c:printSettings>
    <c:headerFooter/>
    <c:pageMargins b="0.75000000000000122" l="0.70000000000000062" r="0.70000000000000062" t="0.7500000000000012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501867555017174"/>
          <c:y val="6.7250111522620934E-2"/>
          <c:w val="0.7851280228926254"/>
          <c:h val="0.71775000000000122"/>
        </c:manualLayout>
      </c:layout>
      <c:barChart>
        <c:barDir val="col"/>
        <c:grouping val="stacked"/>
        <c:varyColors val="0"/>
        <c:ser>
          <c:idx val="0"/>
          <c:order val="0"/>
          <c:tx>
            <c:strRef>
              <c:f>'Data Input'!$B$36</c:f>
              <c:strCache>
                <c:ptCount val="1"/>
                <c:pt idx="0">
                  <c:v> Unassigned Fund Balance </c:v>
                </c:pt>
              </c:strCache>
            </c:strRef>
          </c:tx>
          <c:spPr>
            <a:ln w="6350">
              <a:solidFill>
                <a:sysClr val="windowText" lastClr="000000"/>
              </a:solidFill>
            </a:ln>
          </c:spPr>
          <c:invertIfNegative val="0"/>
          <c:cat>
            <c:numRef>
              <c:f>'Data Input'!$H$2:$V$2</c:f>
              <c:numCache>
                <c:formatCode>General</c:formatCode>
                <c:ptCount val="7"/>
                <c:pt idx="0">
                  <c:v>2014</c:v>
                </c:pt>
                <c:pt idx="1">
                  <c:v>2015</c:v>
                </c:pt>
                <c:pt idx="2">
                  <c:v>2016</c:v>
                </c:pt>
                <c:pt idx="3">
                  <c:v>2017</c:v>
                </c:pt>
                <c:pt idx="4">
                  <c:v>2018</c:v>
                </c:pt>
                <c:pt idx="5">
                  <c:v>2019</c:v>
                </c:pt>
                <c:pt idx="6">
                  <c:v>2020</c:v>
                </c:pt>
              </c:numCache>
            </c:numRef>
          </c:cat>
          <c:val>
            <c:numRef>
              <c:f>'Data Input'!$H$36:$V$36</c:f>
              <c:numCache>
                <c:formatCode>_(* #,##0_);_(* \(#,##0\);_(* "-"_);_(@_)</c:formatCode>
                <c:ptCount val="7"/>
                <c:pt idx="0">
                  <c:v>1433472</c:v>
                </c:pt>
                <c:pt idx="1">
                  <c:v>1702290</c:v>
                </c:pt>
                <c:pt idx="2">
                  <c:v>1741702</c:v>
                </c:pt>
                <c:pt idx="3">
                  <c:v>2114415</c:v>
                </c:pt>
                <c:pt idx="4">
                  <c:v>2017508</c:v>
                </c:pt>
                <c:pt idx="5">
                  <c:v>1937565</c:v>
                </c:pt>
                <c:pt idx="6">
                  <c:v>1727437</c:v>
                </c:pt>
              </c:numCache>
            </c:numRef>
          </c:val>
          <c:extLst>
            <c:ext xmlns:c16="http://schemas.microsoft.com/office/drawing/2014/chart" uri="{C3380CC4-5D6E-409C-BE32-E72D297353CC}">
              <c16:uniqueId val="{00000000-4DF6-4B85-8AEC-8DD65CB9BE2D}"/>
            </c:ext>
          </c:extLst>
        </c:ser>
        <c:ser>
          <c:idx val="1"/>
          <c:order val="1"/>
          <c:tx>
            <c:strRef>
              <c:f>'Data Input'!$B$37</c:f>
              <c:strCache>
                <c:ptCount val="1"/>
                <c:pt idx="0">
                  <c:v> Committed/Assigned </c:v>
                </c:pt>
              </c:strCache>
            </c:strRef>
          </c:tx>
          <c:spPr>
            <a:ln w="6350">
              <a:solidFill>
                <a:sysClr val="windowText" lastClr="000000"/>
              </a:solidFill>
            </a:ln>
          </c:spPr>
          <c:invertIfNegative val="0"/>
          <c:cat>
            <c:numRef>
              <c:f>'Data Input'!$H$2:$V$2</c:f>
              <c:numCache>
                <c:formatCode>General</c:formatCode>
                <c:ptCount val="7"/>
                <c:pt idx="0">
                  <c:v>2014</c:v>
                </c:pt>
                <c:pt idx="1">
                  <c:v>2015</c:v>
                </c:pt>
                <c:pt idx="2">
                  <c:v>2016</c:v>
                </c:pt>
                <c:pt idx="3">
                  <c:v>2017</c:v>
                </c:pt>
                <c:pt idx="4">
                  <c:v>2018</c:v>
                </c:pt>
                <c:pt idx="5">
                  <c:v>2019</c:v>
                </c:pt>
                <c:pt idx="6">
                  <c:v>2020</c:v>
                </c:pt>
              </c:numCache>
            </c:numRef>
          </c:cat>
          <c:val>
            <c:numRef>
              <c:f>'Data Input'!$H$37:$V$37</c:f>
              <c:numCache>
                <c:formatCode>_(* #,##0_);_(* \(#,##0\);_(* "-"_);_(@_)</c:formatCode>
                <c:ptCount val="7"/>
                <c:pt idx="0">
                  <c:v>1512203</c:v>
                </c:pt>
                <c:pt idx="1">
                  <c:v>1834709</c:v>
                </c:pt>
                <c:pt idx="2">
                  <c:v>1955345</c:v>
                </c:pt>
                <c:pt idx="3">
                  <c:v>2164332</c:v>
                </c:pt>
                <c:pt idx="4">
                  <c:v>4062111</c:v>
                </c:pt>
                <c:pt idx="5">
                  <c:v>3976666</c:v>
                </c:pt>
                <c:pt idx="6">
                  <c:v>4260035</c:v>
                </c:pt>
              </c:numCache>
            </c:numRef>
          </c:val>
          <c:extLst>
            <c:ext xmlns:c16="http://schemas.microsoft.com/office/drawing/2014/chart" uri="{C3380CC4-5D6E-409C-BE32-E72D297353CC}">
              <c16:uniqueId val="{00000001-4DF6-4B85-8AEC-8DD65CB9BE2D}"/>
            </c:ext>
          </c:extLst>
        </c:ser>
        <c:ser>
          <c:idx val="2"/>
          <c:order val="2"/>
          <c:tx>
            <c:strRef>
              <c:f>'Data Input'!$B$38</c:f>
              <c:strCache>
                <c:ptCount val="1"/>
                <c:pt idx="0">
                  <c:v> Restricted </c:v>
                </c:pt>
              </c:strCache>
            </c:strRef>
          </c:tx>
          <c:spPr>
            <a:ln w="6350">
              <a:solidFill>
                <a:sysClr val="windowText" lastClr="000000"/>
              </a:solidFill>
            </a:ln>
          </c:spPr>
          <c:invertIfNegative val="0"/>
          <c:cat>
            <c:numRef>
              <c:f>'Data Input'!$H$2:$V$2</c:f>
              <c:numCache>
                <c:formatCode>General</c:formatCode>
                <c:ptCount val="7"/>
                <c:pt idx="0">
                  <c:v>2014</c:v>
                </c:pt>
                <c:pt idx="1">
                  <c:v>2015</c:v>
                </c:pt>
                <c:pt idx="2">
                  <c:v>2016</c:v>
                </c:pt>
                <c:pt idx="3">
                  <c:v>2017</c:v>
                </c:pt>
                <c:pt idx="4">
                  <c:v>2018</c:v>
                </c:pt>
                <c:pt idx="5">
                  <c:v>2019</c:v>
                </c:pt>
                <c:pt idx="6">
                  <c:v>2020</c:v>
                </c:pt>
              </c:numCache>
            </c:numRef>
          </c:cat>
          <c:val>
            <c:numRef>
              <c:f>'Data Input'!$H$38:$V$38</c:f>
              <c:numCache>
                <c:formatCode>_(* #,##0_);_(* \(#,##0\);_(* "-"_);_(@_)</c:formatCode>
                <c:ptCount val="7"/>
                <c:pt idx="0">
                  <c:v>1706387</c:v>
                </c:pt>
                <c:pt idx="1">
                  <c:v>1896396</c:v>
                </c:pt>
                <c:pt idx="2">
                  <c:v>1599408</c:v>
                </c:pt>
                <c:pt idx="3">
                  <c:v>1969587</c:v>
                </c:pt>
                <c:pt idx="4">
                  <c:v>2044082</c:v>
                </c:pt>
                <c:pt idx="5">
                  <c:v>2595673</c:v>
                </c:pt>
                <c:pt idx="6">
                  <c:v>3462526</c:v>
                </c:pt>
              </c:numCache>
            </c:numRef>
          </c:val>
          <c:extLst>
            <c:ext xmlns:c16="http://schemas.microsoft.com/office/drawing/2014/chart" uri="{C3380CC4-5D6E-409C-BE32-E72D297353CC}">
              <c16:uniqueId val="{00000002-4DF6-4B85-8AEC-8DD65CB9BE2D}"/>
            </c:ext>
          </c:extLst>
        </c:ser>
        <c:dLbls>
          <c:showLegendKey val="0"/>
          <c:showVal val="0"/>
          <c:showCatName val="0"/>
          <c:showSerName val="0"/>
          <c:showPercent val="0"/>
          <c:showBubbleSize val="0"/>
        </c:dLbls>
        <c:gapWidth val="150"/>
        <c:overlap val="100"/>
        <c:axId val="513380272"/>
        <c:axId val="519127168"/>
      </c:barChart>
      <c:catAx>
        <c:axId val="513380272"/>
        <c:scaling>
          <c:orientation val="minMax"/>
        </c:scaling>
        <c:delete val="0"/>
        <c:axPos val="b"/>
        <c:numFmt formatCode="General" sourceLinked="1"/>
        <c:majorTickMark val="out"/>
        <c:minorTickMark val="none"/>
        <c:tickLblPos val="nextTo"/>
        <c:txPr>
          <a:bodyPr/>
          <a:lstStyle/>
          <a:p>
            <a:pPr>
              <a:defRPr sz="950" b="0" i="0" u="none" baseline="0">
                <a:solidFill>
                  <a:srgbClr val="000000"/>
                </a:solidFill>
                <a:latin typeface="Calibri"/>
                <a:ea typeface="Calibri"/>
                <a:cs typeface="Calibri"/>
              </a:defRPr>
            </a:pPr>
            <a:endParaRPr lang="en-US"/>
          </a:p>
        </c:txPr>
        <c:crossAx val="519127168"/>
        <c:crosses val="autoZero"/>
        <c:auto val="1"/>
        <c:lblAlgn val="ctr"/>
        <c:lblOffset val="100"/>
        <c:tickLblSkip val="1"/>
        <c:tickMarkSkip val="1"/>
        <c:noMultiLvlLbl val="1"/>
      </c:catAx>
      <c:valAx>
        <c:axId val="519127168"/>
        <c:scaling>
          <c:orientation val="minMax"/>
        </c:scaling>
        <c:delete val="0"/>
        <c:axPos val="l"/>
        <c:majorGridlines/>
        <c:numFmt formatCode="_(* #,##0_);_(* \(#,##0\);_(* &quot;-&quot;_);_(@_)" sourceLinked="1"/>
        <c:majorTickMark val="out"/>
        <c:minorTickMark val="none"/>
        <c:tickLblPos val="nextTo"/>
        <c:txPr>
          <a:bodyPr/>
          <a:lstStyle/>
          <a:p>
            <a:pPr>
              <a:defRPr sz="1000" b="0" i="0" u="none" baseline="0">
                <a:solidFill>
                  <a:srgbClr val="000000"/>
                </a:solidFill>
                <a:latin typeface="Calibri"/>
                <a:ea typeface="Calibri"/>
                <a:cs typeface="Calibri"/>
              </a:defRPr>
            </a:pPr>
            <a:endParaRPr lang="en-US"/>
          </a:p>
        </c:txPr>
        <c:crossAx val="513380272"/>
        <c:crosses val="autoZero"/>
        <c:crossBetween val="between"/>
      </c:valAx>
    </c:plotArea>
    <c:legend>
      <c:legendPos val="b"/>
      <c:layout>
        <c:manualLayout>
          <c:xMode val="edge"/>
          <c:yMode val="edge"/>
          <c:x val="7.475000000000015E-2"/>
          <c:y val="0.89675000000000005"/>
          <c:w val="0.84671532846715303"/>
          <c:h val="7.751937984496135E-2"/>
        </c:manualLayout>
      </c:layout>
      <c:overlay val="0"/>
      <c:txPr>
        <a:bodyPr/>
        <a:lstStyle/>
        <a:p>
          <a:pPr>
            <a:defRPr sz="920" b="0" i="0" u="none" baseline="0">
              <a:solidFill>
                <a:srgbClr val="000000"/>
              </a:solidFill>
              <a:latin typeface="Calibri"/>
              <a:ea typeface="Calibri"/>
              <a:cs typeface="Calibri"/>
            </a:defRPr>
          </a:pPr>
          <a:endParaRPr lang="en-US"/>
        </a:p>
      </c:txPr>
    </c:legend>
    <c:plotVisOnly val="1"/>
    <c:dispBlanksAs val="gap"/>
    <c:showDLblsOverMax val="0"/>
  </c:chart>
  <c:spPr>
    <a:ln w="3175">
      <a:solidFill>
        <a:srgbClr val="000000"/>
      </a:solidFill>
      <a:prstDash val="solid"/>
    </a:ln>
  </c:spPr>
  <c:printSettings>
    <c:headerFooter/>
    <c:pageMargins b="0.75000000000000122" l="0.70000000000000062" r="0.70000000000000062" t="0.7500000000000012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25"/>
          <c:y val="5.2000000000000032E-2"/>
          <c:w val="0.87475000000000158"/>
          <c:h val="0.72275000000000134"/>
        </c:manualLayout>
      </c:layout>
      <c:barChart>
        <c:barDir val="col"/>
        <c:grouping val="stacked"/>
        <c:varyColors val="0"/>
        <c:ser>
          <c:idx val="0"/>
          <c:order val="0"/>
          <c:tx>
            <c:strRef>
              <c:f>'Data Input'!$B$36</c:f>
              <c:strCache>
                <c:ptCount val="1"/>
                <c:pt idx="0">
                  <c:v> Unassigned Fund Balance </c:v>
                </c:pt>
              </c:strCache>
            </c:strRef>
          </c:tx>
          <c:spPr>
            <a:ln w="6350">
              <a:solidFill>
                <a:sysClr val="windowText" lastClr="000000"/>
              </a:solidFill>
            </a:ln>
          </c:spPr>
          <c:invertIfNegative val="0"/>
          <c:cat>
            <c:numRef>
              <c:f>'Data Input'!$W$2:$X$2</c:f>
              <c:numCache>
                <c:formatCode>General</c:formatCode>
                <c:ptCount val="2"/>
                <c:pt idx="0">
                  <c:v>2019</c:v>
                </c:pt>
                <c:pt idx="1">
                  <c:v>2020</c:v>
                </c:pt>
              </c:numCache>
            </c:numRef>
          </c:cat>
          <c:val>
            <c:numRef>
              <c:f>'Data Input'!$W$36:$X$36</c:f>
              <c:numCache>
                <c:formatCode>_(* #,##0_);_(* \(#,##0\);_(* "-"_);_(@_)</c:formatCode>
                <c:ptCount val="2"/>
                <c:pt idx="0">
                  <c:v>215.74</c:v>
                </c:pt>
                <c:pt idx="1">
                  <c:v>191.67</c:v>
                </c:pt>
              </c:numCache>
            </c:numRef>
          </c:val>
          <c:extLst>
            <c:ext xmlns:c16="http://schemas.microsoft.com/office/drawing/2014/chart" uri="{C3380CC4-5D6E-409C-BE32-E72D297353CC}">
              <c16:uniqueId val="{00000000-95A1-4ECD-95DE-9B48515D372D}"/>
            </c:ext>
          </c:extLst>
        </c:ser>
        <c:ser>
          <c:idx val="1"/>
          <c:order val="1"/>
          <c:tx>
            <c:strRef>
              <c:f>'Data Input'!$B$37</c:f>
              <c:strCache>
                <c:ptCount val="1"/>
                <c:pt idx="0">
                  <c:v> Committed/Assigned </c:v>
                </c:pt>
              </c:strCache>
            </c:strRef>
          </c:tx>
          <c:spPr>
            <a:ln w="6350">
              <a:solidFill>
                <a:sysClr val="windowText" lastClr="000000"/>
              </a:solidFill>
            </a:ln>
          </c:spPr>
          <c:invertIfNegative val="0"/>
          <c:cat>
            <c:numRef>
              <c:f>'Data Input'!$W$2:$X$2</c:f>
              <c:numCache>
                <c:formatCode>General</c:formatCode>
                <c:ptCount val="2"/>
                <c:pt idx="0">
                  <c:v>2019</c:v>
                </c:pt>
                <c:pt idx="1">
                  <c:v>2020</c:v>
                </c:pt>
              </c:numCache>
            </c:numRef>
          </c:cat>
          <c:val>
            <c:numRef>
              <c:f>'Data Input'!$W$37:$X$37</c:f>
              <c:numCache>
                <c:formatCode>_(* #,##0_);_(* \(#,##0\);_(* "-"_);_(@_)</c:formatCode>
                <c:ptCount val="2"/>
                <c:pt idx="0">
                  <c:v>442.79</c:v>
                </c:pt>
                <c:pt idx="1">
                  <c:v>472.68</c:v>
                </c:pt>
              </c:numCache>
            </c:numRef>
          </c:val>
          <c:extLst>
            <c:ext xmlns:c16="http://schemas.microsoft.com/office/drawing/2014/chart" uri="{C3380CC4-5D6E-409C-BE32-E72D297353CC}">
              <c16:uniqueId val="{00000001-95A1-4ECD-95DE-9B48515D372D}"/>
            </c:ext>
          </c:extLst>
        </c:ser>
        <c:ser>
          <c:idx val="2"/>
          <c:order val="2"/>
          <c:tx>
            <c:strRef>
              <c:f>'Data Input'!$B$38</c:f>
              <c:strCache>
                <c:ptCount val="1"/>
                <c:pt idx="0">
                  <c:v> Restricted </c:v>
                </c:pt>
              </c:strCache>
            </c:strRef>
          </c:tx>
          <c:spPr>
            <a:ln w="6350">
              <a:solidFill>
                <a:sysClr val="windowText" lastClr="000000"/>
              </a:solidFill>
            </a:ln>
          </c:spPr>
          <c:invertIfNegative val="0"/>
          <c:cat>
            <c:numRef>
              <c:f>'Data Input'!$W$2:$X$2</c:f>
              <c:numCache>
                <c:formatCode>General</c:formatCode>
                <c:ptCount val="2"/>
                <c:pt idx="0">
                  <c:v>2019</c:v>
                </c:pt>
                <c:pt idx="1">
                  <c:v>2020</c:v>
                </c:pt>
              </c:numCache>
            </c:numRef>
          </c:cat>
          <c:val>
            <c:numRef>
              <c:f>'Data Input'!$W$38:$X$38</c:f>
              <c:numCache>
                <c:formatCode>_(* #,##0_);_(* \(#,##0\);_(* "-"_);_(@_)</c:formatCode>
                <c:ptCount val="2"/>
                <c:pt idx="0">
                  <c:v>289.02</c:v>
                </c:pt>
                <c:pt idx="1">
                  <c:v>384.19</c:v>
                </c:pt>
              </c:numCache>
            </c:numRef>
          </c:val>
          <c:extLst>
            <c:ext xmlns:c16="http://schemas.microsoft.com/office/drawing/2014/chart" uri="{C3380CC4-5D6E-409C-BE32-E72D297353CC}">
              <c16:uniqueId val="{00000002-95A1-4ECD-95DE-9B48515D372D}"/>
            </c:ext>
          </c:extLst>
        </c:ser>
        <c:dLbls>
          <c:showLegendKey val="0"/>
          <c:showVal val="0"/>
          <c:showCatName val="0"/>
          <c:showSerName val="0"/>
          <c:showPercent val="0"/>
          <c:showBubbleSize val="0"/>
        </c:dLbls>
        <c:gapWidth val="150"/>
        <c:overlap val="100"/>
        <c:axId val="518833896"/>
        <c:axId val="392162096"/>
      </c:barChart>
      <c:catAx>
        <c:axId val="518833896"/>
        <c:scaling>
          <c:orientation val="minMax"/>
        </c:scaling>
        <c:delete val="0"/>
        <c:axPos val="b"/>
        <c:numFmt formatCode="General" sourceLinked="1"/>
        <c:majorTickMark val="out"/>
        <c:minorTickMark val="none"/>
        <c:tickLblPos val="nextTo"/>
        <c:txPr>
          <a:bodyPr/>
          <a:lstStyle/>
          <a:p>
            <a:pPr>
              <a:defRPr sz="1000" b="0" i="0" u="none" baseline="0">
                <a:solidFill>
                  <a:srgbClr val="000000"/>
                </a:solidFill>
                <a:latin typeface="Calibri"/>
                <a:ea typeface="Calibri"/>
                <a:cs typeface="Calibri"/>
              </a:defRPr>
            </a:pPr>
            <a:endParaRPr lang="en-US"/>
          </a:p>
        </c:txPr>
        <c:crossAx val="392162096"/>
        <c:crosses val="autoZero"/>
        <c:auto val="1"/>
        <c:lblAlgn val="ctr"/>
        <c:lblOffset val="100"/>
        <c:tickLblSkip val="1"/>
        <c:tickMarkSkip val="1"/>
        <c:noMultiLvlLbl val="1"/>
      </c:catAx>
      <c:valAx>
        <c:axId val="392162096"/>
        <c:scaling>
          <c:orientation val="minMax"/>
        </c:scaling>
        <c:delete val="0"/>
        <c:axPos val="l"/>
        <c:majorGridlines/>
        <c:numFmt formatCode="_(* #,##0_);_(* \(#,##0\);_(* &quot;-&quot;_);_(@_)" sourceLinked="1"/>
        <c:majorTickMark val="out"/>
        <c:minorTickMark val="none"/>
        <c:tickLblPos val="nextTo"/>
        <c:txPr>
          <a:bodyPr/>
          <a:lstStyle/>
          <a:p>
            <a:pPr>
              <a:defRPr sz="1000" b="0" i="0" u="none" baseline="0">
                <a:solidFill>
                  <a:srgbClr val="000000"/>
                </a:solidFill>
                <a:latin typeface="Calibri"/>
                <a:ea typeface="Calibri"/>
                <a:cs typeface="Calibri"/>
              </a:defRPr>
            </a:pPr>
            <a:endParaRPr lang="en-US"/>
          </a:p>
        </c:txPr>
        <c:crossAx val="518833896"/>
        <c:crosses val="autoZero"/>
        <c:crossBetween val="between"/>
      </c:valAx>
    </c:plotArea>
    <c:legend>
      <c:legendPos val="b"/>
      <c:layout>
        <c:manualLayout>
          <c:xMode val="edge"/>
          <c:yMode val="edge"/>
          <c:x val="0.10550000000000002"/>
          <c:y val="0.89675000000000005"/>
          <c:w val="0.77968877968878281"/>
          <c:h val="7.751937984496135E-2"/>
        </c:manualLayout>
      </c:layout>
      <c:overlay val="0"/>
      <c:txPr>
        <a:bodyPr/>
        <a:lstStyle/>
        <a:p>
          <a:pPr>
            <a:defRPr sz="920" b="0" i="0" u="none" baseline="0">
              <a:solidFill>
                <a:srgbClr val="000000"/>
              </a:solidFill>
              <a:latin typeface="Calibri"/>
              <a:ea typeface="Calibri"/>
              <a:cs typeface="Calibri"/>
            </a:defRPr>
          </a:pPr>
          <a:endParaRPr lang="en-US"/>
        </a:p>
      </c:txPr>
    </c:legend>
    <c:plotVisOnly val="1"/>
    <c:dispBlanksAs val="gap"/>
    <c:showDLblsOverMax val="0"/>
  </c:chart>
  <c:spPr>
    <a:ln w="3175">
      <a:solidFill>
        <a:srgbClr val="000000"/>
      </a:solidFill>
      <a:prstDash val="solid"/>
    </a:ln>
  </c:spPr>
  <c:printSettings>
    <c:headerFooter/>
    <c:pageMargins b="0.75000000000000122" l="0.70000000000000062" r="0.70000000000000062" t="0.75000000000000122" header="0.30000000000000032" footer="0.30000000000000032"/>
    <c:pageSetup orientation="portrait"/>
  </c:printSettings>
</c:chartSpace>
</file>

<file path=xl/ctrlProps/ctrlProp1.xml><?xml version="1.0" encoding="utf-8"?>
<formControlPr xmlns="http://schemas.microsoft.com/office/spreadsheetml/2009/9/main" objectType="Drop" dropStyle="combo" dx="16" fmlaLink="'Data Input'!$B$85" fmlaRange="'Data Input'!$B$7:$B$17" sel="11" val="3"/>
</file>

<file path=xl/ctrlProps/ctrlProp2.xml><?xml version="1.0" encoding="utf-8"?>
<formControlPr xmlns="http://schemas.microsoft.com/office/spreadsheetml/2009/9/main" objectType="Drop" dropLines="14" dropStyle="combo" dx="16" fmlaLink="'Data Input'!$B$87" fmlaRange="'Data Input'!$B$19:$B$32" sel="14" val="0"/>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5" Type="http://schemas.openxmlformats.org/officeDocument/2006/relationships/chart" Target="../charts/chart14.xml"/><Relationship Id="rId4"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0</xdr:col>
      <xdr:colOff>106680</xdr:colOff>
      <xdr:row>2</xdr:row>
      <xdr:rowOff>45721</xdr:rowOff>
    </xdr:from>
    <xdr:to>
      <xdr:col>23</xdr:col>
      <xdr:colOff>567704</xdr:colOff>
      <xdr:row>3</xdr:row>
      <xdr:rowOff>904876</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06680" y="483871"/>
          <a:ext cx="8376299" cy="10782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Instructions: </a:t>
          </a:r>
        </a:p>
        <a:p>
          <a:r>
            <a:rPr lang="en-US" sz="1000">
              <a:solidFill>
                <a:schemeClr val="dk1"/>
              </a:solidFill>
              <a:effectLst/>
              <a:latin typeface="+mn-lt"/>
              <a:ea typeface="+mn-ea"/>
              <a:cs typeface="+mn-cs"/>
            </a:rPr>
            <a:t>Input all data on this page. The following pages will then provide the graphs and charts which comprise the Transparency tool (citizen friendly guide). This model requires 5 years of data, but allows up to 10 years. To use more than 5 years, unhide columns D-H. </a:t>
          </a:r>
          <a:br>
            <a:rPr lang="en-US" sz="1000">
              <a:solidFill>
                <a:schemeClr val="dk1"/>
              </a:solidFill>
              <a:effectLst/>
              <a:latin typeface="+mn-lt"/>
              <a:ea typeface="+mn-ea"/>
              <a:cs typeface="+mn-cs"/>
            </a:rPr>
          </a:br>
          <a:br>
            <a:rPr lang="en-US" sz="1000">
              <a:solidFill>
                <a:schemeClr val="dk1"/>
              </a:solidFill>
              <a:effectLst/>
              <a:latin typeface="+mn-lt"/>
              <a:ea typeface="+mn-ea"/>
              <a:cs typeface="+mn-cs"/>
            </a:rPr>
          </a:br>
          <a:r>
            <a:rPr lang="en-US" sz="1000">
              <a:solidFill>
                <a:schemeClr val="dk1"/>
              </a:solidFill>
              <a:effectLst/>
              <a:latin typeface="+mn-lt"/>
              <a:ea typeface="+mn-ea"/>
              <a:cs typeface="+mn-cs"/>
            </a:rPr>
            <a:t>Before publishing to the web site, we recommend "hiding" this tab, and the "F-65 crosswalk" tab, so that the document will be more user-friendly. (To do that, right-click on the tab and select "Hide." </a:t>
          </a:r>
          <a:endParaRPr lang="en-US" sz="1000" baseline="0"/>
        </a:p>
      </xdr:txBody>
    </xdr:sp>
    <xdr:clientData/>
  </xdr:twoCellAnchor>
  <xdr:twoCellAnchor>
    <xdr:from>
      <xdr:col>0</xdr:col>
      <xdr:colOff>0</xdr:colOff>
      <xdr:row>21</xdr:row>
      <xdr:rowOff>0</xdr:rowOff>
    </xdr:from>
    <xdr:to>
      <xdr:col>0</xdr:col>
      <xdr:colOff>529721</xdr:colOff>
      <xdr:row>31</xdr:row>
      <xdr:rowOff>32404</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0" y="4213860"/>
          <a:ext cx="548640" cy="18516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000" i="1"/>
            <a:t>Please "hide" any rows that are not being used</a:t>
          </a:r>
          <a:r>
            <a:rPr lang="en-US" sz="1100"/>
            <a:t>. </a:t>
          </a:r>
        </a:p>
      </xdr:txBody>
    </xdr:sp>
    <xdr:clientData/>
  </xdr:twoCellAnchor>
  <xdr:twoCellAnchor>
    <xdr:from>
      <xdr:col>0</xdr:col>
      <xdr:colOff>0</xdr:colOff>
      <xdr:row>35</xdr:row>
      <xdr:rowOff>30480</xdr:rowOff>
    </xdr:from>
    <xdr:to>
      <xdr:col>1</xdr:col>
      <xdr:colOff>30480</xdr:colOff>
      <xdr:row>38</xdr:row>
      <xdr:rowOff>167640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0" y="6842760"/>
          <a:ext cx="624840" cy="685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t>"Hide" unused rows</a:t>
          </a:r>
        </a:p>
      </xdr:txBody>
    </xdr:sp>
    <xdr:clientData/>
  </xdr:twoCellAnchor>
  <xdr:twoCellAnchor>
    <xdr:from>
      <xdr:col>24</xdr:col>
      <xdr:colOff>123825</xdr:colOff>
      <xdr:row>18</xdr:row>
      <xdr:rowOff>114300</xdr:rowOff>
    </xdr:from>
    <xdr:to>
      <xdr:col>25</xdr:col>
      <xdr:colOff>19050</xdr:colOff>
      <xdr:row>20</xdr:row>
      <xdr:rowOff>95250</xdr:rowOff>
    </xdr:to>
    <xdr:cxnSp macro="">
      <xdr:nvCxnSpPr>
        <xdr:cNvPr id="6" name="Straight Arrow Connector 5">
          <a:extLst>
            <a:ext uri="{FF2B5EF4-FFF2-40B4-BE49-F238E27FC236}">
              <a16:creationId xmlns:a16="http://schemas.microsoft.com/office/drawing/2014/main" id="{00000000-0008-0000-0000-000006000000}"/>
            </a:ext>
          </a:extLst>
        </xdr:cNvPr>
        <xdr:cNvCxnSpPr/>
      </xdr:nvCxnSpPr>
      <xdr:spPr>
        <a:xfrm flipH="1">
          <a:off x="8715375" y="4505325"/>
          <a:ext cx="495300" cy="3619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101600</xdr:colOff>
      <xdr:row>37</xdr:row>
      <xdr:rowOff>54687</xdr:rowOff>
    </xdr:from>
    <xdr:to>
      <xdr:col>12</xdr:col>
      <xdr:colOff>0</xdr:colOff>
      <xdr:row>40</xdr:row>
      <xdr:rowOff>137161</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398780" y="6996507"/>
          <a:ext cx="9034780" cy="836854"/>
        </a:xfrm>
        <a:prstGeom prst="rect">
          <a:avLst/>
        </a:prstGeom>
        <a:solidFill>
          <a:schemeClr val="lt1"/>
        </a:solidFill>
        <a:ln w="952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Commentary: </a:t>
          </a:r>
        </a:p>
        <a:p>
          <a:r>
            <a:rPr lang="en-US" sz="1100"/>
            <a:t>Increase in Tax revenue is due to increase in values</a:t>
          </a:r>
          <a:r>
            <a:rPr lang="en-US" sz="1100" baseline="0"/>
            <a:t>, plus the first year of a 1 mil City Street millage. Lower building permits, planning fees, Rec membership &amp; daily admission revenue in Charges for Service. Other revenue decreases include no County Road millage received in FY20 (submitted &amp; received in FY21), lower sale of fixed asset proceeds &amp; school resource officer reimbursement.</a:t>
          </a:r>
          <a:endParaRPr lang="en-US" sz="1100"/>
        </a:p>
      </xdr:txBody>
    </xdr:sp>
    <xdr:clientData/>
  </xdr:twoCellAnchor>
  <xdr:twoCellAnchor>
    <xdr:from>
      <xdr:col>1</xdr:col>
      <xdr:colOff>96289</xdr:colOff>
      <xdr:row>3</xdr:row>
      <xdr:rowOff>47625</xdr:rowOff>
    </xdr:from>
    <xdr:to>
      <xdr:col>5</xdr:col>
      <xdr:colOff>810664</xdr:colOff>
      <xdr:row>17</xdr:row>
      <xdr:rowOff>142875</xdr:rowOff>
    </xdr:to>
    <xdr:graphicFrame macro="">
      <xdr:nvGraphicFramePr>
        <xdr:cNvPr id="6" name="Chart 1">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107027</xdr:colOff>
      <xdr:row>21</xdr:row>
      <xdr:rowOff>74987</xdr:rowOff>
    </xdr:from>
    <xdr:to>
      <xdr:col>5</xdr:col>
      <xdr:colOff>792827</xdr:colOff>
      <xdr:row>35</xdr:row>
      <xdr:rowOff>122612</xdr:rowOff>
    </xdr:to>
    <xdr:graphicFrame macro="">
      <xdr:nvGraphicFramePr>
        <xdr:cNvPr id="7" name="Chart 2">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134388</xdr:colOff>
      <xdr:row>23</xdr:row>
      <xdr:rowOff>4849</xdr:rowOff>
    </xdr:from>
    <xdr:to>
      <xdr:col>11</xdr:col>
      <xdr:colOff>772563</xdr:colOff>
      <xdr:row>35</xdr:row>
      <xdr:rowOff>100099</xdr:rowOff>
    </xdr:to>
    <xdr:graphicFrame macro="">
      <xdr:nvGraphicFramePr>
        <xdr:cNvPr id="8" name="Chart 3">
          <a:extLst>
            <a:ext uri="{FF2B5EF4-FFF2-40B4-BE49-F238E27FC236}">
              <a16:creationId xmlns:a16="http://schemas.microsoft.com/office/drawing/2014/main" id="{00000000-0008-0000-01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oneCell">
        <xdr:from>
          <xdr:col>7</xdr:col>
          <xdr:colOff>60960</xdr:colOff>
          <xdr:row>21</xdr:row>
          <xdr:rowOff>7620</xdr:rowOff>
        </xdr:from>
        <xdr:to>
          <xdr:col>9</xdr:col>
          <xdr:colOff>198120</xdr:colOff>
          <xdr:row>22</xdr:row>
          <xdr:rowOff>83820</xdr:rowOff>
        </xdr:to>
        <xdr:sp macro="" textlink="">
          <xdr:nvSpPr>
            <xdr:cNvPr id="1079" name="Drop Down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8255</xdr:colOff>
      <xdr:row>36</xdr:row>
      <xdr:rowOff>131445</xdr:rowOff>
    </xdr:from>
    <xdr:to>
      <xdr:col>11</xdr:col>
      <xdr:colOff>804562</xdr:colOff>
      <xdr:row>40</xdr:row>
      <xdr:rowOff>133350</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703580" y="6713220"/>
          <a:ext cx="9121157" cy="906780"/>
        </a:xfrm>
        <a:prstGeom prst="rect">
          <a:avLst/>
        </a:prstGeom>
        <a:solidFill>
          <a:schemeClr val="lt1"/>
        </a:solidFill>
        <a:ln w="952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Commentary: </a:t>
          </a:r>
        </a:p>
        <a:p>
          <a:r>
            <a:rPr lang="en-US" sz="1100"/>
            <a:t>Higher wages</a:t>
          </a:r>
          <a:r>
            <a:rPr lang="en-US" sz="1100" baseline="0"/>
            <a:t>, OT, payouts &amp; contract services in Police &amp; Fire and Other Public Safety. Higher wages, streetlight electric cost, &amp; refuse/recycling cost in Other Public Works.</a:t>
          </a:r>
        </a:p>
        <a:p>
          <a:endParaRPr lang="en-US" sz="1100" baseline="0"/>
        </a:p>
        <a:p>
          <a:endParaRPr lang="en-US" sz="1100"/>
        </a:p>
      </xdr:txBody>
    </xdr:sp>
    <xdr:clientData/>
  </xdr:twoCellAnchor>
  <xdr:twoCellAnchor>
    <xdr:from>
      <xdr:col>1</xdr:col>
      <xdr:colOff>79663</xdr:colOff>
      <xdr:row>3</xdr:row>
      <xdr:rowOff>47625</xdr:rowOff>
    </xdr:from>
    <xdr:to>
      <xdr:col>5</xdr:col>
      <xdr:colOff>794038</xdr:colOff>
      <xdr:row>17</xdr:row>
      <xdr:rowOff>114300</xdr:rowOff>
    </xdr:to>
    <xdr:graphicFrame macro="">
      <xdr:nvGraphicFramePr>
        <xdr:cNvPr id="4" name="Chart 4">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66675</xdr:colOff>
      <xdr:row>21</xdr:row>
      <xdr:rowOff>76200</xdr:rowOff>
    </xdr:from>
    <xdr:to>
      <xdr:col>5</xdr:col>
      <xdr:colOff>752475</xdr:colOff>
      <xdr:row>34</xdr:row>
      <xdr:rowOff>114300</xdr:rowOff>
    </xdr:to>
    <xdr:graphicFrame macro="">
      <xdr:nvGraphicFramePr>
        <xdr:cNvPr id="5" name="Chart 5">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133003</xdr:colOff>
      <xdr:row>22</xdr:row>
      <xdr:rowOff>51262</xdr:rowOff>
    </xdr:from>
    <xdr:to>
      <xdr:col>11</xdr:col>
      <xdr:colOff>826077</xdr:colOff>
      <xdr:row>34</xdr:row>
      <xdr:rowOff>127462</xdr:rowOff>
    </xdr:to>
    <xdr:graphicFrame macro="">
      <xdr:nvGraphicFramePr>
        <xdr:cNvPr id="6" name="Chart 6">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oneCell">
        <xdr:from>
          <xdr:col>7</xdr:col>
          <xdr:colOff>121920</xdr:colOff>
          <xdr:row>21</xdr:row>
          <xdr:rowOff>22860</xdr:rowOff>
        </xdr:from>
        <xdr:to>
          <xdr:col>9</xdr:col>
          <xdr:colOff>701040</xdr:colOff>
          <xdr:row>22</xdr:row>
          <xdr:rowOff>22860</xdr:rowOff>
        </xdr:to>
        <xdr:sp macro="" textlink="">
          <xdr:nvSpPr>
            <xdr:cNvPr id="2100" name="Drop Down 52" hidden="1">
              <a:extLst>
                <a:ext uri="{63B3BB69-23CF-44E3-9099-C40C66FF867C}">
                  <a14:compatExt spid="_x0000_s2100"/>
                </a:ext>
                <a:ext uri="{FF2B5EF4-FFF2-40B4-BE49-F238E27FC236}">
                  <a16:creationId xmlns:a16="http://schemas.microsoft.com/office/drawing/2014/main" id="{00000000-0008-0000-0200-00003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0</xdr:colOff>
      <xdr:row>36</xdr:row>
      <xdr:rowOff>38099</xdr:rowOff>
    </xdr:from>
    <xdr:to>
      <xdr:col>11</xdr:col>
      <xdr:colOff>800100</xdr:colOff>
      <xdr:row>40</xdr:row>
      <xdr:rowOff>124110</xdr:rowOff>
    </xdr:to>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396240" y="6598919"/>
          <a:ext cx="8892540" cy="787051"/>
        </a:xfrm>
        <a:prstGeom prst="rect">
          <a:avLst/>
        </a:prstGeom>
        <a:solidFill>
          <a:schemeClr val="lt1"/>
        </a:solidFill>
        <a:ln w="952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Commentary:</a:t>
          </a:r>
        </a:p>
        <a:p>
          <a:r>
            <a:rPr lang="en-US" sz="1100"/>
            <a:t>The restricted fund balance increase is the result of unspent street funds due to the delay in street construction</a:t>
          </a:r>
          <a:r>
            <a:rPr lang="en-US" sz="1100" baseline="0"/>
            <a:t> caused by </a:t>
          </a:r>
          <a:r>
            <a:rPr lang="en-US" sz="1100"/>
            <a:t>the COVID-19 shutdown. The unassigned fund balance (General</a:t>
          </a:r>
          <a:r>
            <a:rPr lang="en-US" sz="1100" baseline="0"/>
            <a:t> Fund) is lower due to decreased revenue and "assigning" some of the unspent expenditures at year end. Although lower, the unassigned fund balance remains within the target range set in the City's Fund Balance Policy.</a:t>
          </a:r>
          <a:endParaRPr lang="en-US" sz="1100"/>
        </a:p>
      </xdr:txBody>
    </xdr:sp>
    <xdr:clientData/>
  </xdr:twoCellAnchor>
  <xdr:twoCellAnchor>
    <xdr:from>
      <xdr:col>1</xdr:col>
      <xdr:colOff>91615</xdr:colOff>
      <xdr:row>3</xdr:row>
      <xdr:rowOff>47625</xdr:rowOff>
    </xdr:from>
    <xdr:to>
      <xdr:col>5</xdr:col>
      <xdr:colOff>767889</xdr:colOff>
      <xdr:row>17</xdr:row>
      <xdr:rowOff>133350</xdr:rowOff>
    </xdr:to>
    <xdr:graphicFrame macro="">
      <xdr:nvGraphicFramePr>
        <xdr:cNvPr id="6" name="Chart 7">
          <a:extLst>
            <a:ext uri="{FF2B5EF4-FFF2-40B4-BE49-F238E27FC236}">
              <a16:creationId xmlns:a16="http://schemas.microsoft.com/office/drawing/2014/main" id="{00000000-0008-0000-03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66676</xdr:colOff>
      <xdr:row>21</xdr:row>
      <xdr:rowOff>66674</xdr:rowOff>
    </xdr:from>
    <xdr:to>
      <xdr:col>11</xdr:col>
      <xdr:colOff>733426</xdr:colOff>
      <xdr:row>34</xdr:row>
      <xdr:rowOff>123824</xdr:rowOff>
    </xdr:to>
    <xdr:graphicFrame macro="">
      <xdr:nvGraphicFramePr>
        <xdr:cNvPr id="7" name="Chart 8">
          <a:extLst>
            <a:ext uri="{FF2B5EF4-FFF2-40B4-BE49-F238E27FC236}">
              <a16:creationId xmlns:a16="http://schemas.microsoft.com/office/drawing/2014/main" id="{00000000-0008-0000-03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104775</xdr:colOff>
      <xdr:row>21</xdr:row>
      <xdr:rowOff>47625</xdr:rowOff>
    </xdr:from>
    <xdr:to>
      <xdr:col>5</xdr:col>
      <xdr:colOff>723900</xdr:colOff>
      <xdr:row>34</xdr:row>
      <xdr:rowOff>114300</xdr:rowOff>
    </xdr:to>
    <xdr:graphicFrame macro="">
      <xdr:nvGraphicFramePr>
        <xdr:cNvPr id="8" name="Chart 9">
          <a:extLst>
            <a:ext uri="{FF2B5EF4-FFF2-40B4-BE49-F238E27FC236}">
              <a16:creationId xmlns:a16="http://schemas.microsoft.com/office/drawing/2014/main" id="{00000000-0008-0000-03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30479</xdr:colOff>
      <xdr:row>36</xdr:row>
      <xdr:rowOff>41564</xdr:rowOff>
    </xdr:from>
    <xdr:to>
      <xdr:col>19</xdr:col>
      <xdr:colOff>0</xdr:colOff>
      <xdr:row>40</xdr:row>
      <xdr:rowOff>142875</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246610" y="7498080"/>
          <a:ext cx="12047914" cy="866082"/>
        </a:xfrm>
        <a:prstGeom prst="rect">
          <a:avLst/>
        </a:prstGeom>
        <a:solidFill>
          <a:schemeClr val="lt1"/>
        </a:solidFill>
        <a:ln w="952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Commentary: </a:t>
          </a:r>
        </a:p>
        <a:p>
          <a:r>
            <a:rPr lang="en-US" sz="1100"/>
            <a:t>The City</a:t>
          </a:r>
          <a:r>
            <a:rPr lang="en-US" sz="1100" baseline="0"/>
            <a:t> is required to make annual contributions to pension and OPEB plans based on actuarially determined amounts.  The payments fund both the cost of the benefit earned for the current year as well as an additional amount to finance any unfunded accrued liability.  The City's pension plans are 63.4% funded, up from 60.49% due to positive investment earnings. The OPEB plans are funded at 57.54, down from 57.75%. Both plans are funded above the "underfunded" threshold set by the State of 60% and 40%, respectively. </a:t>
          </a:r>
        </a:p>
        <a:p>
          <a:endParaRPr lang="en-US" sz="1100"/>
        </a:p>
      </xdr:txBody>
    </xdr:sp>
    <xdr:clientData/>
  </xdr:twoCellAnchor>
  <xdr:twoCellAnchor>
    <xdr:from>
      <xdr:col>8</xdr:col>
      <xdr:colOff>107026</xdr:colOff>
      <xdr:row>3</xdr:row>
      <xdr:rowOff>47626</xdr:rowOff>
    </xdr:from>
    <xdr:to>
      <xdr:col>12</xdr:col>
      <xdr:colOff>716626</xdr:colOff>
      <xdr:row>17</xdr:row>
      <xdr:rowOff>85725</xdr:rowOff>
    </xdr:to>
    <xdr:graphicFrame macro="">
      <xdr:nvGraphicFramePr>
        <xdr:cNvPr id="3" name="Chart 10">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79664</xdr:colOff>
      <xdr:row>3</xdr:row>
      <xdr:rowOff>57150</xdr:rowOff>
    </xdr:from>
    <xdr:to>
      <xdr:col>6</xdr:col>
      <xdr:colOff>698789</xdr:colOff>
      <xdr:row>17</xdr:row>
      <xdr:rowOff>85725</xdr:rowOff>
    </xdr:to>
    <xdr:graphicFrame macro="">
      <xdr:nvGraphicFramePr>
        <xdr:cNvPr id="4" name="Chart 11">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123825</xdr:colOff>
      <xdr:row>20</xdr:row>
      <xdr:rowOff>85725</xdr:rowOff>
    </xdr:from>
    <xdr:to>
      <xdr:col>9</xdr:col>
      <xdr:colOff>571500</xdr:colOff>
      <xdr:row>34</xdr:row>
      <xdr:rowOff>57150</xdr:rowOff>
    </xdr:to>
    <xdr:graphicFrame macro="">
      <xdr:nvGraphicFramePr>
        <xdr:cNvPr id="5" name="Chart 12">
          <a:extLst>
            <a:ext uri="{FF2B5EF4-FFF2-40B4-BE49-F238E27FC236}">
              <a16:creationId xmlns:a16="http://schemas.microsoft.com/office/drawing/2014/main" id="{00000000-0008-0000-04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95251</xdr:colOff>
      <xdr:row>20</xdr:row>
      <xdr:rowOff>76200</xdr:rowOff>
    </xdr:from>
    <xdr:to>
      <xdr:col>18</xdr:col>
      <xdr:colOff>638176</xdr:colOff>
      <xdr:row>34</xdr:row>
      <xdr:rowOff>66675</xdr:rowOff>
    </xdr:to>
    <xdr:graphicFrame macro="">
      <xdr:nvGraphicFramePr>
        <xdr:cNvPr id="6" name="Chart 13">
          <a:extLst>
            <a:ext uri="{FF2B5EF4-FFF2-40B4-BE49-F238E27FC236}">
              <a16:creationId xmlns:a16="http://schemas.microsoft.com/office/drawing/2014/main" id="{00000000-0008-0000-04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71351</xdr:colOff>
      <xdr:row>3</xdr:row>
      <xdr:rowOff>47625</xdr:rowOff>
    </xdr:from>
    <xdr:to>
      <xdr:col>18</xdr:col>
      <xdr:colOff>690476</xdr:colOff>
      <xdr:row>17</xdr:row>
      <xdr:rowOff>95250</xdr:rowOff>
    </xdr:to>
    <xdr:graphicFrame macro="">
      <xdr:nvGraphicFramePr>
        <xdr:cNvPr id="7" name="Chart 14">
          <a:extLst>
            <a:ext uri="{FF2B5EF4-FFF2-40B4-BE49-F238E27FC236}">
              <a16:creationId xmlns:a16="http://schemas.microsoft.com/office/drawing/2014/main" id="{00000000-0008-0000-04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88"/>
  <sheetViews>
    <sheetView zoomScale="90" zoomScaleNormal="90" zoomScaleSheetLayoutView="100" workbookViewId="0">
      <pane xSplit="2" ySplit="2" topLeftCell="P3" activePane="bottomRight" state="frozen"/>
      <selection activeCell="I4" sqref="I4"/>
      <selection pane="topRight" activeCell="I4" sqref="I4"/>
      <selection pane="bottomLeft" activeCell="I4" sqref="I4"/>
      <selection pane="bottomRight" activeCell="P3" sqref="P3"/>
    </sheetView>
  </sheetViews>
  <sheetFormatPr defaultColWidth="9" defaultRowHeight="15" customHeight="1" x14ac:dyDescent="0.3"/>
  <cols>
    <col min="1" max="1" width="8.5546875" style="72" customWidth="1"/>
    <col min="2" max="2" width="27.6640625" style="72" customWidth="1"/>
    <col min="3" max="7" width="9" style="72" hidden="1" customWidth="1"/>
    <col min="8" max="15" width="12" style="72" hidden="1" customWidth="1"/>
    <col min="16" max="22" width="12" style="72" customWidth="1"/>
    <col min="23" max="23" width="11" style="72" customWidth="1"/>
    <col min="24" max="24" width="10.109375" style="72" customWidth="1"/>
    <col min="25" max="25" width="9" style="72"/>
    <col min="26" max="26" width="13.109375" style="72" customWidth="1"/>
    <col min="27" max="16384" width="9" style="72"/>
  </cols>
  <sheetData>
    <row r="1" spans="1:28" ht="17.25" customHeight="1" x14ac:dyDescent="0.3">
      <c r="A1" s="69" t="s">
        <v>40</v>
      </c>
      <c r="R1" s="110"/>
      <c r="S1" s="110"/>
      <c r="T1" s="110"/>
      <c r="U1" s="110"/>
      <c r="V1" s="110"/>
      <c r="W1" s="124" t="s">
        <v>69</v>
      </c>
      <c r="X1" s="124"/>
    </row>
    <row r="2" spans="1:28" s="70" customFormat="1" ht="17.25" customHeight="1" x14ac:dyDescent="0.3">
      <c r="A2" s="111" t="s">
        <v>23</v>
      </c>
      <c r="B2" s="111"/>
      <c r="C2" s="112">
        <v>2001</v>
      </c>
      <c r="D2" s="112">
        <v>2002</v>
      </c>
      <c r="E2" s="112">
        <v>2003</v>
      </c>
      <c r="F2" s="112">
        <v>2004</v>
      </c>
      <c r="G2" s="112">
        <v>2005</v>
      </c>
      <c r="H2" s="70">
        <v>2006</v>
      </c>
      <c r="I2" s="70">
        <v>2007</v>
      </c>
      <c r="J2" s="70">
        <v>2008</v>
      </c>
      <c r="K2" s="70">
        <v>2009</v>
      </c>
      <c r="L2" s="70">
        <v>2010</v>
      </c>
      <c r="M2" s="70">
        <v>2011</v>
      </c>
      <c r="N2" s="70">
        <v>2012</v>
      </c>
      <c r="O2" s="70">
        <v>2013</v>
      </c>
      <c r="P2" s="70">
        <v>2014</v>
      </c>
      <c r="Q2" s="70">
        <v>2015</v>
      </c>
      <c r="R2" s="70">
        <v>2016</v>
      </c>
      <c r="S2" s="70">
        <v>2017</v>
      </c>
      <c r="T2" s="70">
        <v>2018</v>
      </c>
      <c r="U2" s="70">
        <v>2019</v>
      </c>
      <c r="V2" s="106">
        <v>2020</v>
      </c>
      <c r="W2" s="70">
        <f>+U$2</f>
        <v>2019</v>
      </c>
      <c r="X2" s="70">
        <f>+V$2</f>
        <v>2020</v>
      </c>
      <c r="Z2" s="113" t="s">
        <v>125</v>
      </c>
      <c r="AA2" s="114"/>
      <c r="AB2" s="106"/>
    </row>
    <row r="3" spans="1:28" s="70" customFormat="1" ht="17.25" customHeight="1" x14ac:dyDescent="0.3">
      <c r="A3" s="111"/>
      <c r="B3" s="111"/>
    </row>
    <row r="4" spans="1:28" s="70" customFormat="1" ht="75" customHeight="1" x14ac:dyDescent="0.3"/>
    <row r="5" spans="1:28" ht="15" customHeight="1" x14ac:dyDescent="0.3">
      <c r="A5" s="71" t="s">
        <v>54</v>
      </c>
      <c r="H5" s="73"/>
      <c r="J5" s="74"/>
    </row>
    <row r="6" spans="1:28" ht="15" customHeight="1" x14ac:dyDescent="0.3">
      <c r="A6" s="75" t="s">
        <v>74</v>
      </c>
      <c r="K6" s="76"/>
      <c r="L6" s="76"/>
      <c r="M6" s="76"/>
      <c r="N6" s="76"/>
      <c r="O6" s="76"/>
      <c r="P6" s="76"/>
      <c r="Q6" s="76"/>
      <c r="R6" s="76"/>
      <c r="S6" s="76"/>
      <c r="T6" s="76"/>
      <c r="U6" s="76"/>
      <c r="V6" s="76"/>
    </row>
    <row r="7" spans="1:28" ht="15" customHeight="1" x14ac:dyDescent="0.3">
      <c r="B7" s="72" t="s">
        <v>82</v>
      </c>
      <c r="C7" s="77"/>
      <c r="D7" s="77"/>
      <c r="E7" s="77"/>
      <c r="F7" s="77"/>
      <c r="G7" s="77"/>
      <c r="H7" s="77">
        <v>6537300</v>
      </c>
      <c r="I7" s="77">
        <v>6894488</v>
      </c>
      <c r="J7" s="77">
        <v>6899299</v>
      </c>
      <c r="K7" s="77">
        <v>6767074</v>
      </c>
      <c r="L7" s="77">
        <v>6439297</v>
      </c>
      <c r="M7" s="77">
        <v>6137042</v>
      </c>
      <c r="N7" s="77">
        <v>6114789</v>
      </c>
      <c r="O7" s="77">
        <v>5967742</v>
      </c>
      <c r="P7" s="77">
        <v>6300203</v>
      </c>
      <c r="Q7" s="77">
        <v>6389181</v>
      </c>
      <c r="R7" s="77">
        <v>6531698</v>
      </c>
      <c r="S7" s="77">
        <v>6435704</v>
      </c>
      <c r="T7" s="77">
        <v>6559529</v>
      </c>
      <c r="U7" s="77">
        <v>6908231</v>
      </c>
      <c r="V7" s="77">
        <v>7793411</v>
      </c>
      <c r="W7" s="72">
        <f t="shared" ref="W7:W18" si="0">ROUND(U7/$U$74,2)</f>
        <v>769.21</v>
      </c>
      <c r="X7" s="72">
        <f t="shared" ref="X7:X18" si="1">ROUND(V7/$V$74,2)</f>
        <v>864.74</v>
      </c>
      <c r="Z7" s="115" t="s">
        <v>105</v>
      </c>
    </row>
    <row r="8" spans="1:28" ht="15" customHeight="1" x14ac:dyDescent="0.3">
      <c r="B8" s="72" t="s">
        <v>65</v>
      </c>
      <c r="C8" s="77"/>
      <c r="D8" s="77"/>
      <c r="E8" s="77"/>
      <c r="F8" s="77"/>
      <c r="G8" s="77"/>
      <c r="H8" s="77">
        <v>172035</v>
      </c>
      <c r="I8" s="77">
        <v>190948</v>
      </c>
      <c r="J8" s="77">
        <v>168866</v>
      </c>
      <c r="K8" s="77">
        <v>220664</v>
      </c>
      <c r="L8" s="77">
        <v>157368</v>
      </c>
      <c r="M8" s="77">
        <v>161054</v>
      </c>
      <c r="N8" s="77">
        <v>219501</v>
      </c>
      <c r="O8" s="77">
        <v>187033</v>
      </c>
      <c r="P8" s="77">
        <v>160413</v>
      </c>
      <c r="Q8" s="77">
        <v>192857</v>
      </c>
      <c r="R8" s="77">
        <v>279600</v>
      </c>
      <c r="S8" s="77">
        <v>391148</v>
      </c>
      <c r="T8" s="77">
        <f>241447+472362</f>
        <v>713809</v>
      </c>
      <c r="U8" s="77">
        <f>238944+476481</f>
        <v>715425</v>
      </c>
      <c r="V8" s="77">
        <f>234696+412241</f>
        <v>646937</v>
      </c>
      <c r="W8" s="72">
        <f t="shared" si="0"/>
        <v>79.66</v>
      </c>
      <c r="X8" s="72">
        <f t="shared" si="1"/>
        <v>71.78</v>
      </c>
      <c r="Z8" s="115" t="s">
        <v>106</v>
      </c>
    </row>
    <row r="9" spans="1:28" ht="15" customHeight="1" x14ac:dyDescent="0.3">
      <c r="B9" s="72" t="s">
        <v>20</v>
      </c>
      <c r="C9" s="77"/>
      <c r="D9" s="77"/>
      <c r="E9" s="77"/>
      <c r="F9" s="77"/>
      <c r="G9" s="77"/>
      <c r="H9" s="77">
        <v>22864</v>
      </c>
      <c r="I9" s="77">
        <v>17500</v>
      </c>
      <c r="J9" s="77">
        <v>0</v>
      </c>
      <c r="K9" s="77">
        <v>0</v>
      </c>
      <c r="L9" s="77">
        <v>0</v>
      </c>
      <c r="M9" s="77">
        <v>0</v>
      </c>
      <c r="N9" s="77">
        <v>0</v>
      </c>
      <c r="O9" s="77">
        <v>0</v>
      </c>
      <c r="P9" s="77">
        <v>0</v>
      </c>
      <c r="Q9" s="77">
        <v>0</v>
      </c>
      <c r="R9" s="77">
        <v>0</v>
      </c>
      <c r="S9" s="77">
        <v>29204</v>
      </c>
      <c r="T9" s="77">
        <v>0</v>
      </c>
      <c r="U9" s="77">
        <v>0</v>
      </c>
      <c r="V9" s="77">
        <v>0</v>
      </c>
      <c r="W9" s="72">
        <f t="shared" si="0"/>
        <v>0</v>
      </c>
      <c r="X9" s="72">
        <f t="shared" si="1"/>
        <v>0</v>
      </c>
      <c r="Z9" s="115" t="s">
        <v>103</v>
      </c>
    </row>
    <row r="10" spans="1:28" ht="15" customHeight="1" x14ac:dyDescent="0.3">
      <c r="B10" s="72" t="s">
        <v>75</v>
      </c>
      <c r="C10" s="77"/>
      <c r="D10" s="77"/>
      <c r="E10" s="77"/>
      <c r="F10" s="77"/>
      <c r="G10" s="77"/>
      <c r="H10" s="77">
        <v>1388062</v>
      </c>
      <c r="I10" s="77">
        <v>1363063</v>
      </c>
      <c r="J10" s="77">
        <v>1341464</v>
      </c>
      <c r="K10" s="77">
        <v>1320157</v>
      </c>
      <c r="L10" s="77">
        <v>1298409</v>
      </c>
      <c r="M10" s="77">
        <v>1186750</v>
      </c>
      <c r="N10" s="77">
        <v>1659464</v>
      </c>
      <c r="O10" s="77">
        <v>1434987</v>
      </c>
      <c r="P10" s="77">
        <v>1399624</v>
      </c>
      <c r="Q10" s="77">
        <v>1408092</v>
      </c>
      <c r="R10" s="77">
        <f>775077+6594+630230+12433+15812</f>
        <v>1440146</v>
      </c>
      <c r="S10" s="77">
        <v>2191996</v>
      </c>
      <c r="T10" s="77">
        <v>2793849</v>
      </c>
      <c r="U10" s="77">
        <v>2529201</v>
      </c>
      <c r="V10" s="77">
        <v>2409042</v>
      </c>
      <c r="W10" s="72">
        <f t="shared" si="0"/>
        <v>281.62</v>
      </c>
      <c r="X10" s="72">
        <f t="shared" si="1"/>
        <v>267.3</v>
      </c>
      <c r="Z10" s="115" t="s">
        <v>107</v>
      </c>
    </row>
    <row r="11" spans="1:28" ht="15" customHeight="1" x14ac:dyDescent="0.3">
      <c r="B11" s="72" t="s">
        <v>0</v>
      </c>
      <c r="C11" s="77"/>
      <c r="D11" s="77"/>
      <c r="E11" s="77"/>
      <c r="F11" s="77"/>
      <c r="G11" s="77"/>
      <c r="H11" s="77">
        <v>79710</v>
      </c>
      <c r="I11" s="77">
        <v>49922</v>
      </c>
      <c r="J11" s="77">
        <v>59080</v>
      </c>
      <c r="K11" s="77">
        <v>201494</v>
      </c>
      <c r="L11" s="77">
        <v>96889</v>
      </c>
      <c r="M11" s="77">
        <v>42602</v>
      </c>
      <c r="N11" s="77">
        <v>41047</v>
      </c>
      <c r="O11" s="77">
        <v>206305</v>
      </c>
      <c r="P11" s="77">
        <v>65706</v>
      </c>
      <c r="Q11" s="77">
        <v>28150</v>
      </c>
      <c r="R11" s="77">
        <v>12199</v>
      </c>
      <c r="S11" s="77">
        <v>40304</v>
      </c>
      <c r="T11" s="77">
        <v>37585</v>
      </c>
      <c r="U11" s="77">
        <v>36346</v>
      </c>
      <c r="V11" s="77">
        <v>14978</v>
      </c>
      <c r="W11" s="72">
        <f t="shared" si="0"/>
        <v>4.05</v>
      </c>
      <c r="X11" s="72">
        <f t="shared" si="1"/>
        <v>1.66</v>
      </c>
      <c r="Z11" s="115" t="s">
        <v>108</v>
      </c>
    </row>
    <row r="12" spans="1:28" ht="15" customHeight="1" x14ac:dyDescent="0.3">
      <c r="B12" s="72" t="s">
        <v>59</v>
      </c>
      <c r="C12" s="77"/>
      <c r="D12" s="77"/>
      <c r="E12" s="77"/>
      <c r="F12" s="77"/>
      <c r="G12" s="77"/>
      <c r="H12" s="77">
        <v>1852480</v>
      </c>
      <c r="I12" s="77">
        <v>1792150</v>
      </c>
      <c r="J12" s="77">
        <v>1957130</v>
      </c>
      <c r="K12" s="77">
        <v>1900831</v>
      </c>
      <c r="L12" s="77">
        <v>1927238</v>
      </c>
      <c r="M12" s="77">
        <v>2039232</v>
      </c>
      <c r="N12" s="77">
        <v>2066463</v>
      </c>
      <c r="O12" s="77">
        <v>2060945</v>
      </c>
      <c r="P12" s="77">
        <v>2153582</v>
      </c>
      <c r="Q12" s="77">
        <v>2175831</v>
      </c>
      <c r="R12" s="77">
        <f>36355+1393453+716888</f>
        <v>2146696</v>
      </c>
      <c r="S12" s="77">
        <v>2280562</v>
      </c>
      <c r="T12" s="77">
        <v>2297407</v>
      </c>
      <c r="U12" s="77">
        <v>2324279</v>
      </c>
      <c r="V12" s="77">
        <v>1899276</v>
      </c>
      <c r="W12" s="72">
        <f t="shared" si="0"/>
        <v>258.8</v>
      </c>
      <c r="X12" s="72">
        <f t="shared" si="1"/>
        <v>210.74</v>
      </c>
      <c r="Z12" s="115" t="s">
        <v>109</v>
      </c>
    </row>
    <row r="13" spans="1:28" ht="15" customHeight="1" x14ac:dyDescent="0.3">
      <c r="B13" s="72" t="s">
        <v>21</v>
      </c>
      <c r="C13" s="77"/>
      <c r="D13" s="77"/>
      <c r="E13" s="77"/>
      <c r="F13" s="77"/>
      <c r="G13" s="77"/>
      <c r="H13" s="77">
        <v>111520</v>
      </c>
      <c r="I13" s="77">
        <v>103192</v>
      </c>
      <c r="J13" s="77">
        <v>110018</v>
      </c>
      <c r="K13" s="77">
        <v>73027</v>
      </c>
      <c r="L13" s="77">
        <v>61775</v>
      </c>
      <c r="M13" s="77">
        <v>70442</v>
      </c>
      <c r="N13" s="77">
        <v>63961</v>
      </c>
      <c r="O13" s="77">
        <v>51887</v>
      </c>
      <c r="P13" s="77">
        <v>37461</v>
      </c>
      <c r="Q13" s="77">
        <v>41592</v>
      </c>
      <c r="R13" s="77">
        <v>35966</v>
      </c>
      <c r="S13" s="77">
        <v>39072</v>
      </c>
      <c r="T13" s="77">
        <v>34944</v>
      </c>
      <c r="U13" s="77">
        <v>58454</v>
      </c>
      <c r="V13" s="77">
        <v>43874</v>
      </c>
      <c r="W13" s="72">
        <f t="shared" si="0"/>
        <v>6.51</v>
      </c>
      <c r="X13" s="72">
        <f t="shared" si="1"/>
        <v>4.87</v>
      </c>
      <c r="Z13" s="115" t="s">
        <v>110</v>
      </c>
    </row>
    <row r="14" spans="1:28" ht="15" customHeight="1" x14ac:dyDescent="0.3">
      <c r="B14" s="72" t="s">
        <v>1</v>
      </c>
      <c r="C14" s="77"/>
      <c r="D14" s="77"/>
      <c r="E14" s="77"/>
      <c r="F14" s="77"/>
      <c r="G14" s="77"/>
      <c r="H14" s="77">
        <v>687656</v>
      </c>
      <c r="I14" s="77">
        <v>728200</v>
      </c>
      <c r="J14" s="77">
        <v>636236</v>
      </c>
      <c r="K14" s="77">
        <v>510117</v>
      </c>
      <c r="L14" s="77">
        <v>268734</v>
      </c>
      <c r="M14" s="77">
        <v>278119</v>
      </c>
      <c r="N14" s="77">
        <v>313074</v>
      </c>
      <c r="O14" s="77">
        <v>315919</v>
      </c>
      <c r="P14" s="77">
        <v>256372</v>
      </c>
      <c r="Q14" s="77">
        <v>268818</v>
      </c>
      <c r="R14" s="77">
        <f>29148+254309</f>
        <v>283457</v>
      </c>
      <c r="S14" s="77">
        <v>48939</v>
      </c>
      <c r="T14" s="77">
        <v>96389</v>
      </c>
      <c r="U14" s="77">
        <v>138867</v>
      </c>
      <c r="V14" s="77">
        <v>106895</v>
      </c>
      <c r="W14" s="72">
        <f t="shared" si="0"/>
        <v>15.46</v>
      </c>
      <c r="X14" s="72">
        <f t="shared" si="1"/>
        <v>11.86</v>
      </c>
      <c r="Z14" s="115" t="s">
        <v>111</v>
      </c>
    </row>
    <row r="15" spans="1:28" ht="15" customHeight="1" x14ac:dyDescent="0.3">
      <c r="B15" s="72" t="s">
        <v>51</v>
      </c>
      <c r="C15" s="77"/>
      <c r="D15" s="77"/>
      <c r="E15" s="77"/>
      <c r="F15" s="77"/>
      <c r="G15" s="77"/>
      <c r="H15" s="77">
        <v>775361</v>
      </c>
      <c r="I15" s="77">
        <v>407086</v>
      </c>
      <c r="J15" s="77">
        <v>419440</v>
      </c>
      <c r="K15" s="77">
        <v>309479</v>
      </c>
      <c r="L15" s="77">
        <v>441470</v>
      </c>
      <c r="M15" s="77">
        <v>323359</v>
      </c>
      <c r="N15" s="77">
        <v>173427</v>
      </c>
      <c r="O15" s="77">
        <v>731919</v>
      </c>
      <c r="P15" s="77">
        <v>350768</v>
      </c>
      <c r="Q15" s="77">
        <v>360802</v>
      </c>
      <c r="R15" s="77">
        <f>707628+6049</f>
        <v>713677</v>
      </c>
      <c r="S15" s="77">
        <f>141479+242393+1080453</f>
        <v>1464325</v>
      </c>
      <c r="T15" s="77">
        <f>1117151+596695</f>
        <v>1713846</v>
      </c>
      <c r="U15" s="77">
        <f>612271+340924</f>
        <v>953195</v>
      </c>
      <c r="V15" s="77">
        <f>481935+173264</f>
        <v>655199</v>
      </c>
      <c r="W15" s="72">
        <f t="shared" si="0"/>
        <v>106.13</v>
      </c>
      <c r="X15" s="72">
        <f t="shared" si="1"/>
        <v>72.7</v>
      </c>
      <c r="Z15" s="115" t="s">
        <v>112</v>
      </c>
    </row>
    <row r="16" spans="1:28" ht="15" customHeight="1" x14ac:dyDescent="0.3">
      <c r="B16" s="78" t="s">
        <v>83</v>
      </c>
      <c r="C16" s="77"/>
      <c r="D16" s="77"/>
      <c r="E16" s="77"/>
      <c r="F16" s="77"/>
      <c r="G16" s="77"/>
      <c r="H16" s="77">
        <v>6250000</v>
      </c>
      <c r="I16" s="77">
        <v>0</v>
      </c>
      <c r="J16" s="77">
        <v>0</v>
      </c>
      <c r="K16" s="77">
        <v>0</v>
      </c>
      <c r="L16" s="77">
        <v>0</v>
      </c>
      <c r="M16" s="77">
        <v>0</v>
      </c>
      <c r="N16" s="77">
        <v>0</v>
      </c>
      <c r="O16" s="77">
        <v>0</v>
      </c>
      <c r="P16" s="77">
        <v>0</v>
      </c>
      <c r="Q16" s="77">
        <v>0</v>
      </c>
      <c r="R16" s="77">
        <v>0</v>
      </c>
      <c r="S16" s="77">
        <v>0</v>
      </c>
      <c r="T16" s="77">
        <v>1680737</v>
      </c>
      <c r="U16" s="77">
        <v>0</v>
      </c>
      <c r="V16" s="77">
        <v>0</v>
      </c>
      <c r="W16" s="72">
        <f t="shared" si="0"/>
        <v>0</v>
      </c>
      <c r="X16" s="72">
        <f t="shared" si="1"/>
        <v>0</v>
      </c>
      <c r="Z16" s="115" t="s">
        <v>126</v>
      </c>
    </row>
    <row r="17" spans="1:26" ht="15" customHeight="1" x14ac:dyDescent="0.3">
      <c r="B17" s="79" t="s">
        <v>3</v>
      </c>
      <c r="C17" s="80">
        <f t="shared" ref="C17:V17" si="2">SUM(C7:C16)</f>
        <v>0</v>
      </c>
      <c r="D17" s="80">
        <f t="shared" si="2"/>
        <v>0</v>
      </c>
      <c r="E17" s="80">
        <f t="shared" si="2"/>
        <v>0</v>
      </c>
      <c r="F17" s="80">
        <f t="shared" si="2"/>
        <v>0</v>
      </c>
      <c r="G17" s="80">
        <f t="shared" si="2"/>
        <v>0</v>
      </c>
      <c r="H17" s="80">
        <f t="shared" si="2"/>
        <v>17876988</v>
      </c>
      <c r="I17" s="80">
        <f t="shared" si="2"/>
        <v>11546549</v>
      </c>
      <c r="J17" s="80">
        <f t="shared" si="2"/>
        <v>11591533</v>
      </c>
      <c r="K17" s="80">
        <f t="shared" si="2"/>
        <v>11302843</v>
      </c>
      <c r="L17" s="80">
        <f t="shared" ref="L17" si="3">SUM(L7:L16)</f>
        <v>10691180</v>
      </c>
      <c r="M17" s="80">
        <f t="shared" si="2"/>
        <v>10238600</v>
      </c>
      <c r="N17" s="80">
        <f t="shared" si="2"/>
        <v>10651726</v>
      </c>
      <c r="O17" s="80">
        <f t="shared" ref="O17" si="4">SUM(O7:O16)</f>
        <v>10956737</v>
      </c>
      <c r="P17" s="80">
        <f t="shared" ref="P17:U17" si="5">SUM(P7:P16)</f>
        <v>10724129</v>
      </c>
      <c r="Q17" s="80">
        <f t="shared" si="5"/>
        <v>10865323</v>
      </c>
      <c r="R17" s="80">
        <f t="shared" ref="R17:T17" si="6">SUM(R7:R16)</f>
        <v>11443439</v>
      </c>
      <c r="S17" s="80">
        <f t="shared" si="6"/>
        <v>12921254</v>
      </c>
      <c r="T17" s="80">
        <f t="shared" si="6"/>
        <v>15928095</v>
      </c>
      <c r="U17" s="80">
        <f t="shared" si="5"/>
        <v>13663998</v>
      </c>
      <c r="V17" s="80">
        <f t="shared" si="2"/>
        <v>13569612</v>
      </c>
      <c r="W17" s="80">
        <f t="shared" si="0"/>
        <v>1521.43</v>
      </c>
      <c r="X17" s="80">
        <f t="shared" si="1"/>
        <v>1505.65</v>
      </c>
    </row>
    <row r="18" spans="1:26" ht="15" customHeight="1" x14ac:dyDescent="0.3">
      <c r="A18" s="75" t="s">
        <v>15</v>
      </c>
      <c r="T18" s="108"/>
      <c r="U18" s="108"/>
      <c r="V18" s="107"/>
      <c r="W18" s="72">
        <f t="shared" si="0"/>
        <v>0</v>
      </c>
      <c r="X18" s="72">
        <f t="shared" si="1"/>
        <v>0</v>
      </c>
      <c r="Z18" s="116" t="s">
        <v>99</v>
      </c>
    </row>
    <row r="19" spans="1:26" ht="15" customHeight="1" x14ac:dyDescent="0.3">
      <c r="B19" s="72" t="s">
        <v>43</v>
      </c>
      <c r="C19" s="77"/>
      <c r="D19" s="77"/>
      <c r="E19" s="77"/>
      <c r="F19" s="77"/>
      <c r="G19" s="77"/>
      <c r="H19" s="81">
        <f>2857866</f>
        <v>2857866</v>
      </c>
      <c r="I19" s="81">
        <f>3011090</f>
        <v>3011090</v>
      </c>
      <c r="J19" s="81">
        <f>3103166</f>
        <v>3103166</v>
      </c>
      <c r="K19" s="81">
        <f>3180434</f>
        <v>3180434</v>
      </c>
      <c r="L19" s="81">
        <f>3251782-137136</f>
        <v>3114646</v>
      </c>
      <c r="M19" s="77">
        <f>3856550-130861</f>
        <v>3725689</v>
      </c>
      <c r="N19" s="77">
        <v>3447693</v>
      </c>
      <c r="O19" s="77">
        <v>3101508</v>
      </c>
      <c r="P19" s="77">
        <v>2987608</v>
      </c>
      <c r="Q19" s="77">
        <v>2977149</v>
      </c>
      <c r="R19" s="77">
        <v>2875721</v>
      </c>
      <c r="S19" s="77">
        <f>3766386+65513-161303-69940</f>
        <v>3600656</v>
      </c>
      <c r="T19" s="77">
        <f>3879136+44690-234203-52011</f>
        <v>3637612</v>
      </c>
      <c r="U19" s="77">
        <f>4551755+57312-283358-0</f>
        <v>4325709</v>
      </c>
      <c r="V19" s="77">
        <f>4426906+61421-339135-48648-2772</f>
        <v>4097772</v>
      </c>
      <c r="W19" s="72">
        <f t="shared" ref="W19:W33" si="7">ROUND(U19/$U$74,2)</f>
        <v>481.65</v>
      </c>
      <c r="X19" s="72">
        <f t="shared" ref="X19:X33" si="8">ROUND(V19/$V$74,2)</f>
        <v>454.68</v>
      </c>
      <c r="Z19" s="117" t="s">
        <v>114</v>
      </c>
    </row>
    <row r="20" spans="1:26" ht="15" customHeight="1" x14ac:dyDescent="0.3">
      <c r="B20" s="72" t="s">
        <v>61</v>
      </c>
      <c r="C20" s="77"/>
      <c r="D20" s="77"/>
      <c r="E20" s="77"/>
      <c r="F20" s="77"/>
      <c r="G20" s="77"/>
      <c r="H20" s="81">
        <v>2226262</v>
      </c>
      <c r="I20" s="81">
        <v>2342264</v>
      </c>
      <c r="J20" s="81">
        <v>2347831</v>
      </c>
      <c r="K20" s="81">
        <v>2512987</v>
      </c>
      <c r="L20" s="81">
        <v>2420575</v>
      </c>
      <c r="M20" s="77">
        <v>2530063</v>
      </c>
      <c r="N20" s="77">
        <v>2487461</v>
      </c>
      <c r="O20" s="77">
        <v>2386916</v>
      </c>
      <c r="P20" s="77">
        <v>2346204</v>
      </c>
      <c r="Q20" s="77">
        <v>2217573</v>
      </c>
      <c r="R20" s="77">
        <v>2335255</v>
      </c>
      <c r="S20" s="77">
        <f>2321315-145229</f>
        <v>2176086</v>
      </c>
      <c r="T20" s="77">
        <f>2347497-53079</f>
        <v>2294418</v>
      </c>
      <c r="U20" s="77">
        <f>2434982-40000</f>
        <v>2394982</v>
      </c>
      <c r="V20" s="77">
        <f>2763430-23760</f>
        <v>2739670</v>
      </c>
      <c r="W20" s="72">
        <f t="shared" si="7"/>
        <v>266.67</v>
      </c>
      <c r="X20" s="72">
        <f t="shared" si="8"/>
        <v>303.99</v>
      </c>
      <c r="Z20" s="115" t="s">
        <v>115</v>
      </c>
    </row>
    <row r="21" spans="1:26" ht="15" customHeight="1" x14ac:dyDescent="0.3">
      <c r="B21" s="72" t="s">
        <v>36</v>
      </c>
      <c r="C21" s="77"/>
      <c r="D21" s="77"/>
      <c r="E21" s="77"/>
      <c r="F21" s="77"/>
      <c r="G21" s="77"/>
      <c r="H21" s="81">
        <f>161649</f>
        <v>161649</v>
      </c>
      <c r="I21" s="81">
        <f>236221</f>
        <v>236221</v>
      </c>
      <c r="J21" s="81">
        <f>212594</f>
        <v>212594</v>
      </c>
      <c r="K21" s="81">
        <f>223662</f>
        <v>223662</v>
      </c>
      <c r="L21" s="81">
        <v>137136</v>
      </c>
      <c r="M21" s="77">
        <v>130861</v>
      </c>
      <c r="N21" s="77">
        <v>130919</v>
      </c>
      <c r="O21" s="77">
        <v>126461</v>
      </c>
      <c r="P21" s="77">
        <v>135484</v>
      </c>
      <c r="Q21" s="77">
        <v>125283</v>
      </c>
      <c r="R21" s="77">
        <v>150420</v>
      </c>
      <c r="S21" s="77">
        <v>161303</v>
      </c>
      <c r="T21" s="77">
        <v>234203</v>
      </c>
      <c r="U21" s="77">
        <v>283358</v>
      </c>
      <c r="V21" s="77">
        <v>339135</v>
      </c>
      <c r="W21" s="72">
        <f t="shared" si="7"/>
        <v>31.55</v>
      </c>
      <c r="X21" s="72">
        <f t="shared" si="8"/>
        <v>37.630000000000003</v>
      </c>
      <c r="Z21" s="115" t="s">
        <v>113</v>
      </c>
    </row>
    <row r="22" spans="1:26" ht="15" customHeight="1" x14ac:dyDescent="0.3">
      <c r="B22" s="78" t="s">
        <v>84</v>
      </c>
      <c r="C22" s="77"/>
      <c r="D22" s="77"/>
      <c r="E22" s="77"/>
      <c r="F22" s="77"/>
      <c r="G22" s="77"/>
      <c r="H22" s="81">
        <f>208691+476519+295570+6470</f>
        <v>987250</v>
      </c>
      <c r="I22" s="81">
        <f>187712+835794+1026038+21000</f>
        <v>2070544</v>
      </c>
      <c r="J22" s="81">
        <f>219285+294157+204568+21100</f>
        <v>739110</v>
      </c>
      <c r="K22" s="81">
        <f>271676+613530+268874+21430</f>
        <v>1175510</v>
      </c>
      <c r="L22" s="81">
        <f>170911+567203+276295+21350</f>
        <v>1035759</v>
      </c>
      <c r="M22" s="77">
        <f>103654+335614+147829</f>
        <v>587097</v>
      </c>
      <c r="N22" s="77">
        <v>1185867</v>
      </c>
      <c r="O22" s="77">
        <v>998549</v>
      </c>
      <c r="P22" s="77">
        <f>131827+323931+519324</f>
        <v>975082</v>
      </c>
      <c r="Q22" s="77">
        <f>127511+205233+216777</f>
        <v>549521</v>
      </c>
      <c r="R22" s="77">
        <f>144128+861165+273278</f>
        <v>1278571</v>
      </c>
      <c r="S22" s="77">
        <f>184147+526310-466794</f>
        <v>243663</v>
      </c>
      <c r="T22" s="77">
        <f>687772+296949-571435</f>
        <v>413286</v>
      </c>
      <c r="U22" s="77">
        <f>562807+374917-498716</f>
        <v>439008</v>
      </c>
      <c r="V22" s="77">
        <f>427187+219329-360677</f>
        <v>285839</v>
      </c>
      <c r="W22" s="72">
        <f t="shared" si="7"/>
        <v>48.88</v>
      </c>
      <c r="X22" s="72">
        <f t="shared" si="8"/>
        <v>31.72</v>
      </c>
      <c r="Z22" s="117" t="s">
        <v>102</v>
      </c>
    </row>
    <row r="23" spans="1:26" ht="15" customHeight="1" x14ac:dyDescent="0.3">
      <c r="B23" s="72" t="s">
        <v>66</v>
      </c>
      <c r="C23" s="77"/>
      <c r="D23" s="77"/>
      <c r="E23" s="77"/>
      <c r="F23" s="77"/>
      <c r="G23" s="77"/>
      <c r="H23" s="81">
        <f>1406735+1-(987250-457862-163199-70)</f>
        <v>1040617</v>
      </c>
      <c r="I23" s="81">
        <f>1759307-(2070544-683808-890165)</f>
        <v>1262736</v>
      </c>
      <c r="J23" s="81">
        <f>1770720-(739110-142276-68839)</f>
        <v>1242725</v>
      </c>
      <c r="K23" s="81">
        <f>1898196-(1175510-460733-101970)</f>
        <v>1285389</v>
      </c>
      <c r="L23" s="81">
        <f>1761192-(1035759-490213-134097)</f>
        <v>1349743</v>
      </c>
      <c r="M23" s="77">
        <f>1652851-(M22-219701-12041)</f>
        <v>1297496</v>
      </c>
      <c r="N23" s="77">
        <v>1267204</v>
      </c>
      <c r="O23" s="77">
        <v>1261407</v>
      </c>
      <c r="P23" s="77">
        <f>1782052-(975082-577272)</f>
        <v>1384242</v>
      </c>
      <c r="Q23" s="77">
        <f>1614890-(549521-174622)</f>
        <v>1239991</v>
      </c>
      <c r="R23" s="77">
        <f>1120967-(1278571-1613280)</f>
        <v>1455676</v>
      </c>
      <c r="S23" s="77">
        <f>2789956+112763-184147-526310-986162</f>
        <v>1206100</v>
      </c>
      <c r="T23" s="77">
        <f>2799100+116045-687772-296949-432441</f>
        <v>1497983</v>
      </c>
      <c r="U23" s="77">
        <f>2634910+119869-562807-374917-288024</f>
        <v>1529031</v>
      </c>
      <c r="V23" s="77">
        <f>2327153+120783-427187-219329-145450</f>
        <v>1655970</v>
      </c>
      <c r="W23" s="72">
        <f t="shared" si="7"/>
        <v>170.25</v>
      </c>
      <c r="X23" s="72">
        <f t="shared" si="8"/>
        <v>183.74</v>
      </c>
      <c r="Z23" s="117" t="s">
        <v>116</v>
      </c>
    </row>
    <row r="24" spans="1:26" ht="15" customHeight="1" x14ac:dyDescent="0.3">
      <c r="B24" s="72" t="s">
        <v>33</v>
      </c>
      <c r="C24" s="77"/>
      <c r="D24" s="77"/>
      <c r="E24" s="77"/>
      <c r="F24" s="77"/>
      <c r="G24" s="77"/>
      <c r="H24" s="81">
        <v>46031</v>
      </c>
      <c r="I24" s="81">
        <v>55310</v>
      </c>
      <c r="J24" s="81">
        <v>81966</v>
      </c>
      <c r="K24" s="81">
        <v>72117</v>
      </c>
      <c r="L24" s="81">
        <v>53065</v>
      </c>
      <c r="M24" s="77">
        <v>49391</v>
      </c>
      <c r="N24" s="77">
        <v>59749</v>
      </c>
      <c r="O24" s="77">
        <v>51098</v>
      </c>
      <c r="P24" s="77">
        <v>55848</v>
      </c>
      <c r="Q24" s="77">
        <v>42172</v>
      </c>
      <c r="R24" s="77">
        <v>55369</v>
      </c>
      <c r="S24" s="77">
        <f>46042</f>
        <v>46042</v>
      </c>
      <c r="T24" s="77">
        <f>54063-4200</f>
        <v>49863</v>
      </c>
      <c r="U24" s="77">
        <f>49395-0</f>
        <v>49395</v>
      </c>
      <c r="V24" s="77">
        <f>62579-8750</f>
        <v>53829</v>
      </c>
      <c r="W24" s="72">
        <f t="shared" si="7"/>
        <v>5.5</v>
      </c>
      <c r="X24" s="72">
        <f t="shared" si="8"/>
        <v>5.97</v>
      </c>
      <c r="Z24" s="117" t="s">
        <v>117</v>
      </c>
    </row>
    <row r="25" spans="1:26" ht="15" hidden="1" customHeight="1" x14ac:dyDescent="0.3">
      <c r="B25" s="72" t="s">
        <v>101</v>
      </c>
      <c r="C25" s="77"/>
      <c r="D25" s="77"/>
      <c r="E25" s="77"/>
      <c r="F25" s="77"/>
      <c r="G25" s="77"/>
      <c r="H25" s="81">
        <v>0</v>
      </c>
      <c r="I25" s="81">
        <v>0</v>
      </c>
      <c r="J25" s="81">
        <v>0</v>
      </c>
      <c r="K25" s="81">
        <v>0</v>
      </c>
      <c r="L25" s="81">
        <v>0</v>
      </c>
      <c r="M25" s="77">
        <v>0</v>
      </c>
      <c r="N25" s="77">
        <v>0</v>
      </c>
      <c r="O25" s="77"/>
      <c r="P25" s="77"/>
      <c r="Q25" s="77"/>
      <c r="R25" s="77"/>
      <c r="S25" s="77"/>
      <c r="T25" s="77"/>
      <c r="U25" s="77"/>
      <c r="V25" s="77"/>
      <c r="W25" s="72">
        <f t="shared" si="7"/>
        <v>0</v>
      </c>
      <c r="X25" s="72">
        <f t="shared" si="8"/>
        <v>0</v>
      </c>
    </row>
    <row r="26" spans="1:26" ht="15" customHeight="1" x14ac:dyDescent="0.3">
      <c r="B26" s="72" t="s">
        <v>30</v>
      </c>
      <c r="C26" s="77"/>
      <c r="D26" s="77"/>
      <c r="E26" s="77"/>
      <c r="F26" s="77"/>
      <c r="G26" s="77"/>
      <c r="H26" s="81">
        <v>1693062</v>
      </c>
      <c r="I26" s="81">
        <v>1592079</v>
      </c>
      <c r="J26" s="81">
        <v>1680358</v>
      </c>
      <c r="K26" s="81">
        <v>1685492</v>
      </c>
      <c r="L26" s="81">
        <v>1604231</v>
      </c>
      <c r="M26" s="77">
        <v>1587449</v>
      </c>
      <c r="N26" s="77">
        <v>1627142</v>
      </c>
      <c r="O26" s="77">
        <v>1507545</v>
      </c>
      <c r="P26" s="77">
        <v>1616130</v>
      </c>
      <c r="Q26" s="77">
        <v>1546240</v>
      </c>
      <c r="R26" s="77">
        <v>1694820</v>
      </c>
      <c r="S26" s="77">
        <f>1755664-15473</f>
        <v>1740191</v>
      </c>
      <c r="T26" s="77">
        <f>1866585-151798</f>
        <v>1714787</v>
      </c>
      <c r="U26" s="77">
        <f>1786700-0</f>
        <v>1786700</v>
      </c>
      <c r="V26" s="77">
        <f>1642813-5900</f>
        <v>1636913</v>
      </c>
      <c r="W26" s="72">
        <f t="shared" si="7"/>
        <v>198.94</v>
      </c>
      <c r="X26" s="72">
        <f t="shared" si="8"/>
        <v>181.63</v>
      </c>
      <c r="Z26" s="117" t="s">
        <v>118</v>
      </c>
    </row>
    <row r="27" spans="1:26" ht="15" customHeight="1" x14ac:dyDescent="0.3">
      <c r="B27" s="72" t="s">
        <v>28</v>
      </c>
      <c r="C27" s="77"/>
      <c r="D27" s="77"/>
      <c r="E27" s="77"/>
      <c r="F27" s="77"/>
      <c r="G27" s="77"/>
      <c r="H27" s="81">
        <f>1740270-457862-163199-70</f>
        <v>1119139</v>
      </c>
      <c r="I27" s="81">
        <f>6987473-683808-890165</f>
        <v>5413500</v>
      </c>
      <c r="J27" s="81">
        <f>517662-142276-68839</f>
        <v>306547</v>
      </c>
      <c r="K27" s="81">
        <f>820064-460733-101970</f>
        <v>257361</v>
      </c>
      <c r="L27" s="81">
        <f>676910-490213-134097</f>
        <v>52600</v>
      </c>
      <c r="M27" s="77">
        <f>449490-219701-12041</f>
        <v>217748</v>
      </c>
      <c r="N27" s="77">
        <v>581114</v>
      </c>
      <c r="O27" s="77">
        <v>340034</v>
      </c>
      <c r="P27" s="77">
        <v>89859</v>
      </c>
      <c r="Q27" s="77">
        <f>611293-174622</f>
        <v>436671</v>
      </c>
      <c r="R27" s="77">
        <f>2403502-1613280</f>
        <v>790222</v>
      </c>
      <c r="S27" s="77">
        <f>157487+69940+145229+466794+986162+15473</f>
        <v>1841085</v>
      </c>
      <c r="T27" s="77">
        <f>1950270+52011+53079+432441+4200+151798+571435</f>
        <v>3215234</v>
      </c>
      <c r="U27" s="77">
        <f>532210+40000+288024+498716</f>
        <v>1358950</v>
      </c>
      <c r="V27" s="77">
        <f>58641+48648+2772+23760+145420+8750+5900+360677</f>
        <v>654568</v>
      </c>
      <c r="W27" s="72">
        <f t="shared" si="7"/>
        <v>151.31</v>
      </c>
      <c r="X27" s="72">
        <f t="shared" si="8"/>
        <v>72.63</v>
      </c>
      <c r="Z27" s="117" t="s">
        <v>119</v>
      </c>
    </row>
    <row r="28" spans="1:26" ht="15" customHeight="1" x14ac:dyDescent="0.3">
      <c r="B28" s="72" t="s">
        <v>67</v>
      </c>
      <c r="C28" s="77"/>
      <c r="D28" s="77"/>
      <c r="E28" s="77"/>
      <c r="F28" s="77"/>
      <c r="G28" s="77"/>
      <c r="H28" s="81">
        <v>1492298</v>
      </c>
      <c r="I28" s="81">
        <v>1203045</v>
      </c>
      <c r="J28" s="81">
        <v>1215983</v>
      </c>
      <c r="K28" s="81">
        <v>1228277</v>
      </c>
      <c r="L28" s="81">
        <f>3337994-2100993</f>
        <v>1237001</v>
      </c>
      <c r="M28" s="77">
        <v>1103682</v>
      </c>
      <c r="N28" s="77">
        <v>1019541</v>
      </c>
      <c r="O28" s="77">
        <v>1139448</v>
      </c>
      <c r="P28" s="77">
        <v>980818</v>
      </c>
      <c r="Q28" s="77">
        <v>1059390</v>
      </c>
      <c r="R28" s="77">
        <v>944325</v>
      </c>
      <c r="S28" s="77">
        <v>954249</v>
      </c>
      <c r="T28" s="77">
        <v>995343</v>
      </c>
      <c r="U28" s="77">
        <v>1110662</v>
      </c>
      <c r="V28" s="77">
        <v>1106910</v>
      </c>
      <c r="W28" s="72">
        <f t="shared" si="7"/>
        <v>123.67</v>
      </c>
      <c r="X28" s="72">
        <f t="shared" si="8"/>
        <v>122.82</v>
      </c>
      <c r="Z28" s="117" t="s">
        <v>120</v>
      </c>
    </row>
    <row r="29" spans="1:26" ht="15" hidden="1" customHeight="1" x14ac:dyDescent="0.3">
      <c r="B29" s="72" t="s">
        <v>76</v>
      </c>
      <c r="C29" s="77"/>
      <c r="D29" s="77"/>
      <c r="E29" s="77"/>
      <c r="F29" s="77"/>
      <c r="G29" s="77"/>
      <c r="H29" s="81">
        <v>0</v>
      </c>
      <c r="I29" s="81">
        <v>0</v>
      </c>
      <c r="J29" s="81">
        <v>0</v>
      </c>
      <c r="K29" s="81">
        <v>0</v>
      </c>
      <c r="L29" s="81">
        <v>0</v>
      </c>
      <c r="M29" s="77">
        <v>0</v>
      </c>
      <c r="N29" s="77">
        <v>0</v>
      </c>
      <c r="O29" s="77">
        <v>0</v>
      </c>
      <c r="P29" s="77"/>
      <c r="Q29" s="77"/>
      <c r="R29" s="77"/>
      <c r="S29" s="77"/>
      <c r="T29" s="77"/>
      <c r="U29" s="77"/>
      <c r="V29" s="77"/>
      <c r="W29" s="72">
        <f t="shared" si="7"/>
        <v>0</v>
      </c>
      <c r="X29" s="72">
        <f t="shared" si="8"/>
        <v>0</v>
      </c>
    </row>
    <row r="30" spans="1:26" ht="15" hidden="1" customHeight="1" x14ac:dyDescent="0.3">
      <c r="B30" s="72" t="s">
        <v>37</v>
      </c>
      <c r="C30" s="77"/>
      <c r="D30" s="77"/>
      <c r="E30" s="77"/>
      <c r="F30" s="77"/>
      <c r="G30" s="77"/>
      <c r="H30" s="81">
        <f>-1158355+1158355</f>
        <v>0</v>
      </c>
      <c r="I30" s="81">
        <f>2164302-2164302</f>
        <v>0</v>
      </c>
      <c r="J30" s="81">
        <f>-807345+807345</f>
        <v>0</v>
      </c>
      <c r="K30" s="81">
        <f>-1476177+1476177</f>
        <v>0</v>
      </c>
      <c r="L30" s="81">
        <f>-1696147-4981+1701128</f>
        <v>0</v>
      </c>
      <c r="M30" s="77">
        <f>-681406-24180+705586</f>
        <v>0</v>
      </c>
      <c r="N30" s="77">
        <v>0</v>
      </c>
      <c r="O30" s="77">
        <v>0</v>
      </c>
      <c r="P30" s="77"/>
      <c r="Q30" s="77"/>
      <c r="R30" s="77"/>
      <c r="S30" s="77"/>
      <c r="T30" s="77"/>
      <c r="U30" s="77"/>
      <c r="V30" s="77"/>
      <c r="W30" s="72">
        <f t="shared" si="7"/>
        <v>0</v>
      </c>
      <c r="X30" s="72">
        <f t="shared" si="8"/>
        <v>0</v>
      </c>
    </row>
    <row r="31" spans="1:26" ht="15" customHeight="1" x14ac:dyDescent="0.3">
      <c r="B31" s="72" t="s">
        <v>13</v>
      </c>
      <c r="C31" s="77"/>
      <c r="D31" s="77"/>
      <c r="E31" s="77"/>
      <c r="F31" s="77"/>
      <c r="G31" s="77"/>
      <c r="H31" s="81">
        <f>(1106796-1106796)</f>
        <v>0</v>
      </c>
      <c r="I31" s="81">
        <f>2152602-2152602</f>
        <v>0</v>
      </c>
      <c r="J31" s="81">
        <f>807345-807345</f>
        <v>0</v>
      </c>
      <c r="K31" s="81">
        <f>1476177-1476177</f>
        <v>0</v>
      </c>
      <c r="L31" s="81">
        <f>3802121-3802121</f>
        <v>0</v>
      </c>
      <c r="M31" s="77">
        <f>705586-705586</f>
        <v>0</v>
      </c>
      <c r="N31" s="77">
        <v>0</v>
      </c>
      <c r="O31" s="77">
        <v>0</v>
      </c>
      <c r="P31" s="77">
        <v>0</v>
      </c>
      <c r="Q31" s="77">
        <v>0</v>
      </c>
      <c r="R31" s="77">
        <v>0</v>
      </c>
      <c r="S31" s="77">
        <v>0</v>
      </c>
      <c r="T31" s="77">
        <v>0</v>
      </c>
      <c r="U31" s="77">
        <v>0</v>
      </c>
      <c r="V31" s="77">
        <v>0</v>
      </c>
      <c r="W31" s="72">
        <f t="shared" si="7"/>
        <v>0</v>
      </c>
      <c r="X31" s="72">
        <f t="shared" si="8"/>
        <v>0</v>
      </c>
    </row>
    <row r="32" spans="1:26" ht="15" customHeight="1" x14ac:dyDescent="0.3">
      <c r="B32" s="79" t="s">
        <v>4</v>
      </c>
      <c r="C32" s="80">
        <f t="shared" ref="C32:V32" si="9">SUM(C19:C31)</f>
        <v>0</v>
      </c>
      <c r="D32" s="80">
        <f t="shared" si="9"/>
        <v>0</v>
      </c>
      <c r="E32" s="80">
        <f t="shared" si="9"/>
        <v>0</v>
      </c>
      <c r="F32" s="80">
        <f t="shared" si="9"/>
        <v>0</v>
      </c>
      <c r="G32" s="80">
        <f t="shared" si="9"/>
        <v>0</v>
      </c>
      <c r="H32" s="80">
        <f t="shared" si="9"/>
        <v>11624174</v>
      </c>
      <c r="I32" s="80">
        <f t="shared" si="9"/>
        <v>17186789</v>
      </c>
      <c r="J32" s="80">
        <f t="shared" si="9"/>
        <v>10930280</v>
      </c>
      <c r="K32" s="80">
        <f t="shared" si="9"/>
        <v>11621229</v>
      </c>
      <c r="L32" s="80">
        <f t="shared" ref="L32:M32" si="10">SUM(L19:L31)</f>
        <v>11004756</v>
      </c>
      <c r="M32" s="80">
        <f t="shared" si="10"/>
        <v>11229476</v>
      </c>
      <c r="N32" s="80">
        <f t="shared" ref="N32:O32" si="11">SUM(N19:N31)</f>
        <v>11806690</v>
      </c>
      <c r="O32" s="80">
        <f t="shared" si="11"/>
        <v>10912966</v>
      </c>
      <c r="P32" s="80">
        <f t="shared" ref="P32:U32" si="12">SUM(P19:P31)</f>
        <v>10571275</v>
      </c>
      <c r="Q32" s="80">
        <f t="shared" ref="Q32:T32" si="13">SUM(Q19:Q31)</f>
        <v>10193990</v>
      </c>
      <c r="R32" s="80">
        <f t="shared" si="13"/>
        <v>11580379</v>
      </c>
      <c r="S32" s="80">
        <f t="shared" si="13"/>
        <v>11969375</v>
      </c>
      <c r="T32" s="80">
        <f t="shared" si="13"/>
        <v>14052729</v>
      </c>
      <c r="U32" s="80">
        <f t="shared" si="12"/>
        <v>13277795</v>
      </c>
      <c r="V32" s="80">
        <f t="shared" si="9"/>
        <v>12570606</v>
      </c>
      <c r="W32" s="80">
        <f t="shared" si="7"/>
        <v>1478.43</v>
      </c>
      <c r="X32" s="80">
        <f t="shared" si="8"/>
        <v>1394.81</v>
      </c>
    </row>
    <row r="33" spans="1:27" ht="15.75" customHeight="1" x14ac:dyDescent="0.3">
      <c r="B33" s="72" t="s">
        <v>63</v>
      </c>
      <c r="C33" s="82">
        <f t="shared" ref="C33:V33" si="14">+C17-C32</f>
        <v>0</v>
      </c>
      <c r="D33" s="82">
        <f t="shared" si="14"/>
        <v>0</v>
      </c>
      <c r="E33" s="82">
        <f t="shared" si="14"/>
        <v>0</v>
      </c>
      <c r="F33" s="82">
        <f t="shared" si="14"/>
        <v>0</v>
      </c>
      <c r="G33" s="82">
        <f t="shared" si="14"/>
        <v>0</v>
      </c>
      <c r="H33" s="82">
        <f t="shared" si="14"/>
        <v>6252814</v>
      </c>
      <c r="I33" s="82">
        <f t="shared" si="14"/>
        <v>-5640240</v>
      </c>
      <c r="J33" s="82">
        <f t="shared" si="14"/>
        <v>661253</v>
      </c>
      <c r="K33" s="82">
        <f t="shared" si="14"/>
        <v>-318386</v>
      </c>
      <c r="L33" s="82">
        <f t="shared" ref="L33:M33" si="15">+L17-L32</f>
        <v>-313576</v>
      </c>
      <c r="M33" s="82">
        <f t="shared" si="15"/>
        <v>-990876</v>
      </c>
      <c r="N33" s="82">
        <f t="shared" ref="N33:U33" si="16">+N17-N32</f>
        <v>-1154964</v>
      </c>
      <c r="O33" s="82">
        <f t="shared" si="16"/>
        <v>43771</v>
      </c>
      <c r="P33" s="82">
        <f t="shared" si="16"/>
        <v>152854</v>
      </c>
      <c r="Q33" s="82">
        <f t="shared" ref="Q33:T33" si="17">+Q17-Q32</f>
        <v>671333</v>
      </c>
      <c r="R33" s="82">
        <f t="shared" si="17"/>
        <v>-136940</v>
      </c>
      <c r="S33" s="82">
        <f t="shared" si="17"/>
        <v>951879</v>
      </c>
      <c r="T33" s="82">
        <f t="shared" si="17"/>
        <v>1875366</v>
      </c>
      <c r="U33" s="82">
        <f t="shared" si="16"/>
        <v>386203</v>
      </c>
      <c r="V33" s="82">
        <f t="shared" si="14"/>
        <v>999006</v>
      </c>
      <c r="W33" s="82">
        <f t="shared" si="7"/>
        <v>43</v>
      </c>
      <c r="X33" s="82">
        <f t="shared" si="8"/>
        <v>110.85</v>
      </c>
    </row>
    <row r="34" spans="1:27" ht="15.75" customHeight="1" x14ac:dyDescent="0.3">
      <c r="A34" s="71" t="s">
        <v>79</v>
      </c>
    </row>
    <row r="35" spans="1:27" ht="17.25" customHeight="1" x14ac:dyDescent="0.3">
      <c r="W35" s="70"/>
      <c r="Z35" s="118"/>
    </row>
    <row r="36" spans="1:27" ht="15" customHeight="1" x14ac:dyDescent="0.3">
      <c r="B36" s="72" t="s">
        <v>95</v>
      </c>
      <c r="C36" s="77"/>
      <c r="D36" s="77"/>
      <c r="E36" s="77"/>
      <c r="F36" s="77"/>
      <c r="G36" s="77"/>
      <c r="H36" s="77">
        <v>2536480</v>
      </c>
      <c r="I36" s="77">
        <v>4100383</v>
      </c>
      <c r="J36" s="77">
        <v>6645785</v>
      </c>
      <c r="K36" s="77">
        <v>5474485</v>
      </c>
      <c r="L36" s="77">
        <v>4298742</v>
      </c>
      <c r="M36" s="77">
        <v>1522970</v>
      </c>
      <c r="N36" s="77">
        <v>1170911</v>
      </c>
      <c r="O36" s="77">
        <v>1237664</v>
      </c>
      <c r="P36" s="77">
        <v>1433472</v>
      </c>
      <c r="Q36" s="77">
        <v>1702290</v>
      </c>
      <c r="R36" s="77">
        <v>1741702</v>
      </c>
      <c r="S36" s="77">
        <v>2114415</v>
      </c>
      <c r="T36" s="77">
        <v>2017508</v>
      </c>
      <c r="U36" s="77">
        <f>1786183+151382</f>
        <v>1937565</v>
      </c>
      <c r="V36" s="77">
        <v>1727437</v>
      </c>
      <c r="W36" s="83">
        <f t="shared" ref="W36:W39" si="18">ROUND(U36/$U$74,2)</f>
        <v>215.74</v>
      </c>
      <c r="X36" s="83">
        <f>ROUND(V36/$V$74,2)</f>
        <v>191.67</v>
      </c>
      <c r="Z36" s="115" t="s">
        <v>121</v>
      </c>
    </row>
    <row r="37" spans="1:27" ht="15" customHeight="1" x14ac:dyDescent="0.3">
      <c r="B37" s="72" t="s">
        <v>94</v>
      </c>
      <c r="C37" s="77"/>
      <c r="D37" s="77"/>
      <c r="E37" s="77"/>
      <c r="F37" s="77"/>
      <c r="G37" s="77"/>
      <c r="H37" s="77">
        <v>744645</v>
      </c>
      <c r="I37" s="77">
        <v>243053</v>
      </c>
      <c r="J37" s="77">
        <v>303862</v>
      </c>
      <c r="K37" s="77">
        <v>1128470</v>
      </c>
      <c r="L37" s="77">
        <v>249879</v>
      </c>
      <c r="M37" s="77">
        <f>198124+1304334</f>
        <v>1502458</v>
      </c>
      <c r="N37" s="77">
        <f>1029185+6564</f>
        <v>1035749</v>
      </c>
      <c r="O37" s="77">
        <v>1233370</v>
      </c>
      <c r="P37" s="77">
        <v>1512203</v>
      </c>
      <c r="Q37" s="77">
        <v>1834709</v>
      </c>
      <c r="R37" s="77">
        <v>1955345</v>
      </c>
      <c r="S37" s="77">
        <f>4870+1481256+678206</f>
        <v>2164332</v>
      </c>
      <c r="T37" s="77">
        <f>1685963+2376148</f>
        <v>4062111</v>
      </c>
      <c r="U37" s="77">
        <f>1756611+2220055</f>
        <v>3976666</v>
      </c>
      <c r="V37" s="77">
        <f>1527198+2732837</f>
        <v>4260035</v>
      </c>
      <c r="W37" s="83">
        <f t="shared" si="18"/>
        <v>442.79</v>
      </c>
      <c r="X37" s="83">
        <f>ROUND(V37/$V$74,2)</f>
        <v>472.68</v>
      </c>
      <c r="Z37" s="115"/>
    </row>
    <row r="38" spans="1:27" ht="15" customHeight="1" x14ac:dyDescent="0.3">
      <c r="B38" s="72" t="s">
        <v>93</v>
      </c>
      <c r="C38" s="77"/>
      <c r="D38" s="77"/>
      <c r="E38" s="77"/>
      <c r="F38" s="77"/>
      <c r="G38" s="77"/>
      <c r="H38" s="77">
        <v>8762106</v>
      </c>
      <c r="I38" s="77">
        <v>2059558</v>
      </c>
      <c r="J38" s="77">
        <v>114600</v>
      </c>
      <c r="K38" s="77">
        <v>142906</v>
      </c>
      <c r="L38" s="77">
        <v>1883664</v>
      </c>
      <c r="M38" s="77">
        <f>2379336+36646</f>
        <v>2415982</v>
      </c>
      <c r="N38" s="77">
        <v>2079786</v>
      </c>
      <c r="O38" s="77">
        <v>2028174</v>
      </c>
      <c r="P38" s="77">
        <v>1706387</v>
      </c>
      <c r="Q38" s="77">
        <v>1896396</v>
      </c>
      <c r="R38" s="77">
        <v>1599408</v>
      </c>
      <c r="S38" s="77">
        <f>32860+1936727</f>
        <v>1969587</v>
      </c>
      <c r="T38" s="77">
        <v>2044082</v>
      </c>
      <c r="U38" s="77">
        <v>2595673</v>
      </c>
      <c r="V38" s="77">
        <v>3462526</v>
      </c>
      <c r="W38" s="83">
        <f t="shared" si="18"/>
        <v>289.02</v>
      </c>
      <c r="X38" s="83">
        <f>ROUND(V38/$V$74,2)</f>
        <v>384.19</v>
      </c>
      <c r="Z38" s="115"/>
    </row>
    <row r="39" spans="1:27" ht="15.75" customHeight="1" x14ac:dyDescent="0.3">
      <c r="B39" s="84" t="s">
        <v>14</v>
      </c>
      <c r="C39" s="82">
        <f t="shared" ref="C39:V39" si="19">SUM(C36:C38)</f>
        <v>0</v>
      </c>
      <c r="D39" s="82">
        <f t="shared" si="19"/>
        <v>0</v>
      </c>
      <c r="E39" s="82">
        <f t="shared" si="19"/>
        <v>0</v>
      </c>
      <c r="F39" s="82">
        <f t="shared" si="19"/>
        <v>0</v>
      </c>
      <c r="G39" s="82">
        <f t="shared" si="19"/>
        <v>0</v>
      </c>
      <c r="H39" s="82">
        <f t="shared" si="19"/>
        <v>12043231</v>
      </c>
      <c r="I39" s="82">
        <f t="shared" si="19"/>
        <v>6402994</v>
      </c>
      <c r="J39" s="82">
        <f t="shared" si="19"/>
        <v>7064247</v>
      </c>
      <c r="K39" s="82">
        <f t="shared" si="19"/>
        <v>6745861</v>
      </c>
      <c r="L39" s="82">
        <f t="shared" ref="L39" si="20">SUM(L36:L38)</f>
        <v>6432285</v>
      </c>
      <c r="M39" s="82">
        <f t="shared" ref="M39:N39" si="21">SUM(M36:M38)</f>
        <v>5441410</v>
      </c>
      <c r="N39" s="82">
        <f t="shared" si="21"/>
        <v>4286446</v>
      </c>
      <c r="O39" s="82">
        <f t="shared" ref="O39" si="22">SUM(O36:O38)</f>
        <v>4499208</v>
      </c>
      <c r="P39" s="82">
        <f t="shared" ref="P39:U39" si="23">SUM(P36:P38)</f>
        <v>4652062</v>
      </c>
      <c r="Q39" s="82">
        <f t="shared" ref="Q39:T39" si="24">SUM(Q36:Q38)</f>
        <v>5433395</v>
      </c>
      <c r="R39" s="82">
        <f t="shared" si="24"/>
        <v>5296455</v>
      </c>
      <c r="S39" s="82">
        <f t="shared" si="24"/>
        <v>6248334</v>
      </c>
      <c r="T39" s="82">
        <f t="shared" si="24"/>
        <v>8123701</v>
      </c>
      <c r="U39" s="82">
        <f t="shared" si="23"/>
        <v>8509904</v>
      </c>
      <c r="V39" s="82">
        <f t="shared" si="19"/>
        <v>9449998</v>
      </c>
      <c r="W39" s="85">
        <f t="shared" si="18"/>
        <v>947.55</v>
      </c>
      <c r="X39" s="85">
        <f>ROUND(V39/$V$74,2)</f>
        <v>1048.55</v>
      </c>
      <c r="Z39" s="115"/>
    </row>
    <row r="40" spans="1:27" ht="15.75" customHeight="1" x14ac:dyDescent="0.3">
      <c r="Z40" s="119"/>
    </row>
    <row r="41" spans="1:27" ht="15" customHeight="1" x14ac:dyDescent="0.3">
      <c r="B41" s="72" t="s">
        <v>92</v>
      </c>
      <c r="C41" s="72">
        <f t="shared" ref="C41:N41" si="25">SUM(C36:C37)</f>
        <v>0</v>
      </c>
      <c r="D41" s="72">
        <f t="shared" si="25"/>
        <v>0</v>
      </c>
      <c r="E41" s="72">
        <f t="shared" si="25"/>
        <v>0</v>
      </c>
      <c r="F41" s="72">
        <f t="shared" si="25"/>
        <v>0</v>
      </c>
      <c r="G41" s="72">
        <f t="shared" si="25"/>
        <v>0</v>
      </c>
      <c r="H41" s="72">
        <f t="shared" si="25"/>
        <v>3281125</v>
      </c>
      <c r="I41" s="72">
        <f t="shared" si="25"/>
        <v>4343436</v>
      </c>
      <c r="J41" s="72">
        <f t="shared" si="25"/>
        <v>6949647</v>
      </c>
      <c r="K41" s="72">
        <f t="shared" si="25"/>
        <v>6602955</v>
      </c>
      <c r="L41" s="72">
        <f t="shared" ref="L41" si="26">SUM(L36:L37)</f>
        <v>4548621</v>
      </c>
      <c r="M41" s="72">
        <f t="shared" si="25"/>
        <v>3025428</v>
      </c>
      <c r="N41" s="72">
        <f t="shared" si="25"/>
        <v>2206660</v>
      </c>
      <c r="O41" s="72">
        <f t="shared" ref="O41:V41" si="27">SUM(O36:O37)</f>
        <v>2471034</v>
      </c>
      <c r="P41" s="72">
        <f t="shared" si="27"/>
        <v>2945675</v>
      </c>
      <c r="Q41" s="72">
        <f t="shared" ref="Q41:T41" si="28">SUM(Q36:Q37)</f>
        <v>3536999</v>
      </c>
      <c r="R41" s="72">
        <f t="shared" si="28"/>
        <v>3697047</v>
      </c>
      <c r="S41" s="72">
        <f t="shared" si="28"/>
        <v>4278747</v>
      </c>
      <c r="T41" s="72">
        <f t="shared" si="28"/>
        <v>6079619</v>
      </c>
      <c r="U41" s="72">
        <f t="shared" si="27"/>
        <v>5914231</v>
      </c>
      <c r="V41" s="72">
        <f t="shared" si="27"/>
        <v>5987472</v>
      </c>
      <c r="W41" s="83">
        <f>ROUND(U41/$U$74,2)</f>
        <v>658.53</v>
      </c>
      <c r="X41" s="83">
        <f>ROUND(V41/$V$74,2)</f>
        <v>664.36</v>
      </c>
      <c r="Z41" s="115"/>
    </row>
    <row r="43" spans="1:27" ht="17.25" customHeight="1" x14ac:dyDescent="0.3">
      <c r="A43" s="71" t="s">
        <v>49</v>
      </c>
      <c r="H43" s="86"/>
      <c r="I43" s="86"/>
      <c r="J43" s="86"/>
      <c r="K43" s="86"/>
      <c r="L43" s="86"/>
      <c r="M43" s="86"/>
      <c r="N43" s="86"/>
      <c r="O43" s="86"/>
      <c r="P43" s="86"/>
      <c r="Q43" s="86"/>
      <c r="R43" s="86"/>
      <c r="S43" s="86"/>
      <c r="T43" s="86"/>
      <c r="U43" s="86"/>
      <c r="V43" s="86"/>
      <c r="W43" s="87"/>
    </row>
    <row r="44" spans="1:27" ht="17.25" customHeight="1" x14ac:dyDescent="0.3">
      <c r="A44" s="72" t="s">
        <v>31</v>
      </c>
      <c r="W44" s="70"/>
    </row>
    <row r="45" spans="1:27" ht="17.25" customHeight="1" x14ac:dyDescent="0.3">
      <c r="A45" s="72" t="s">
        <v>77</v>
      </c>
      <c r="C45" s="88">
        <f t="shared" ref="C45:L45" si="29">EOMONTH(D45,-12)</f>
        <v>36891</v>
      </c>
      <c r="D45" s="88">
        <f t="shared" si="29"/>
        <v>37256</v>
      </c>
      <c r="E45" s="88">
        <f t="shared" si="29"/>
        <v>37621</v>
      </c>
      <c r="F45" s="88">
        <f t="shared" si="29"/>
        <v>37986</v>
      </c>
      <c r="G45" s="88">
        <f t="shared" si="29"/>
        <v>38352</v>
      </c>
      <c r="H45" s="88">
        <f t="shared" si="29"/>
        <v>38717</v>
      </c>
      <c r="I45" s="88">
        <f t="shared" si="29"/>
        <v>39082</v>
      </c>
      <c r="J45" s="88">
        <f t="shared" si="29"/>
        <v>39447</v>
      </c>
      <c r="K45" s="88">
        <f t="shared" si="29"/>
        <v>39813</v>
      </c>
      <c r="L45" s="88">
        <f t="shared" si="29"/>
        <v>40178</v>
      </c>
      <c r="M45" s="88">
        <f t="shared" ref="M45:U45" si="30">EOMONTH(N45,-12)</f>
        <v>40543</v>
      </c>
      <c r="N45" s="88">
        <f t="shared" si="30"/>
        <v>40908</v>
      </c>
      <c r="O45" s="88">
        <f t="shared" si="30"/>
        <v>41274</v>
      </c>
      <c r="P45" s="88">
        <f t="shared" si="30"/>
        <v>41639</v>
      </c>
      <c r="Q45" s="88">
        <f>EOMONTH(R45,-12)</f>
        <v>42004</v>
      </c>
      <c r="R45" s="88">
        <f>EOMONTH(S45,-12)</f>
        <v>42369</v>
      </c>
      <c r="S45" s="88">
        <f t="shared" si="30"/>
        <v>42735</v>
      </c>
      <c r="T45" s="88">
        <f t="shared" si="30"/>
        <v>43100</v>
      </c>
      <c r="U45" s="88">
        <f t="shared" si="30"/>
        <v>43465</v>
      </c>
      <c r="V45" s="89">
        <v>43830</v>
      </c>
      <c r="W45" s="70"/>
    </row>
    <row r="46" spans="1:27" ht="15" customHeight="1" x14ac:dyDescent="0.3">
      <c r="B46" s="90" t="s">
        <v>60</v>
      </c>
      <c r="C46" s="77"/>
      <c r="D46" s="77"/>
      <c r="E46" s="77"/>
      <c r="F46" s="77"/>
      <c r="G46" s="77"/>
      <c r="H46" s="77">
        <v>10654717</v>
      </c>
      <c r="I46" s="77">
        <v>11300925</v>
      </c>
      <c r="J46" s="77">
        <v>12181267</v>
      </c>
      <c r="K46" s="77">
        <v>12534269</v>
      </c>
      <c r="L46" s="77">
        <v>13093466</v>
      </c>
      <c r="M46" s="77">
        <v>13961876</v>
      </c>
      <c r="N46" s="77">
        <v>15468825</v>
      </c>
      <c r="O46" s="77">
        <v>15909441</v>
      </c>
      <c r="P46" s="77">
        <f>16508296</f>
        <v>16508296</v>
      </c>
      <c r="Q46" s="77">
        <v>15847968</v>
      </c>
      <c r="R46" s="77">
        <v>15374358</v>
      </c>
      <c r="S46" s="77">
        <v>16392976</v>
      </c>
      <c r="T46" s="77">
        <f>18018202</f>
        <v>18018202</v>
      </c>
      <c r="U46" s="77">
        <v>16967126</v>
      </c>
      <c r="V46" s="77">
        <v>18694643</v>
      </c>
      <c r="Z46" s="115" t="s">
        <v>122</v>
      </c>
      <c r="AA46" s="120"/>
    </row>
    <row r="47" spans="1:27" ht="15" customHeight="1" x14ac:dyDescent="0.3">
      <c r="B47" s="90" t="s">
        <v>72</v>
      </c>
      <c r="C47" s="77"/>
      <c r="D47" s="77"/>
      <c r="E47" s="77"/>
      <c r="F47" s="77"/>
      <c r="G47" s="77"/>
      <c r="H47" s="77">
        <v>15390775</v>
      </c>
      <c r="I47" s="77">
        <v>16239424</v>
      </c>
      <c r="J47" s="77">
        <v>17280164</v>
      </c>
      <c r="K47" s="77">
        <v>18353481</v>
      </c>
      <c r="L47" s="77">
        <v>18750296</v>
      </c>
      <c r="M47" s="77">
        <v>19534092</v>
      </c>
      <c r="N47" s="77">
        <v>20647479</v>
      </c>
      <c r="O47" s="77">
        <v>21225227</v>
      </c>
      <c r="P47" s="77">
        <f>22556904</f>
        <v>22556904</v>
      </c>
      <c r="Q47" s="77">
        <v>23173820</v>
      </c>
      <c r="R47" s="77">
        <v>25924631</v>
      </c>
      <c r="S47" s="77">
        <v>26450164</v>
      </c>
      <c r="T47" s="77">
        <f>27027691</f>
        <v>27027691</v>
      </c>
      <c r="U47" s="77">
        <v>28048710</v>
      </c>
      <c r="V47" s="77">
        <v>29485975</v>
      </c>
      <c r="Z47" s="115" t="s">
        <v>122</v>
      </c>
      <c r="AA47" s="120"/>
    </row>
    <row r="48" spans="1:27" ht="15" customHeight="1" x14ac:dyDescent="0.3">
      <c r="B48" s="90" t="s">
        <v>5</v>
      </c>
      <c r="C48" s="72">
        <f t="shared" ref="C48:V48" si="31">+C47-C46</f>
        <v>0</v>
      </c>
      <c r="D48" s="72">
        <f t="shared" si="31"/>
        <v>0</v>
      </c>
      <c r="E48" s="72">
        <f t="shared" si="31"/>
        <v>0</v>
      </c>
      <c r="F48" s="72">
        <f t="shared" si="31"/>
        <v>0</v>
      </c>
      <c r="G48" s="72">
        <f t="shared" si="31"/>
        <v>0</v>
      </c>
      <c r="H48" s="72">
        <f t="shared" si="31"/>
        <v>4736058</v>
      </c>
      <c r="I48" s="72">
        <f t="shared" si="31"/>
        <v>4938499</v>
      </c>
      <c r="J48" s="72">
        <f t="shared" si="31"/>
        <v>5098897</v>
      </c>
      <c r="K48" s="72">
        <f t="shared" si="31"/>
        <v>5819212</v>
      </c>
      <c r="L48" s="72">
        <f t="shared" ref="L48:M48" si="32">+L47-L46</f>
        <v>5656830</v>
      </c>
      <c r="M48" s="72">
        <f t="shared" si="32"/>
        <v>5572216</v>
      </c>
      <c r="N48" s="72">
        <f t="shared" ref="N48" si="33">+N47-N46</f>
        <v>5178654</v>
      </c>
      <c r="O48" s="72">
        <f t="shared" ref="O48:U48" si="34">+O47-O46</f>
        <v>5315786</v>
      </c>
      <c r="P48" s="72">
        <f t="shared" si="34"/>
        <v>6048608</v>
      </c>
      <c r="Q48" s="72">
        <f t="shared" ref="Q48:T48" si="35">+Q47-Q46</f>
        <v>7325852</v>
      </c>
      <c r="R48" s="72">
        <f t="shared" si="35"/>
        <v>10550273</v>
      </c>
      <c r="S48" s="72">
        <f t="shared" si="35"/>
        <v>10057188</v>
      </c>
      <c r="T48" s="72">
        <f t="shared" si="35"/>
        <v>9009489</v>
      </c>
      <c r="U48" s="72">
        <f t="shared" si="34"/>
        <v>11081584</v>
      </c>
      <c r="V48" s="72">
        <f t="shared" si="31"/>
        <v>10791332</v>
      </c>
      <c r="W48" s="83">
        <f>ROUND(U48/$U$74,2)</f>
        <v>1233.8900000000001</v>
      </c>
      <c r="X48" s="83">
        <f>ROUND(V48/$V$74,2)</f>
        <v>1197.3800000000001</v>
      </c>
      <c r="Z48" s="120"/>
      <c r="AA48" s="120"/>
    </row>
    <row r="49" spans="1:32" ht="15" customHeight="1" x14ac:dyDescent="0.3">
      <c r="A49" s="79"/>
      <c r="B49" s="72" t="s">
        <v>70</v>
      </c>
      <c r="C49" s="91" t="str">
        <f t="shared" ref="C49:V49" si="36">IF(ABS(C47)=0,"",+C46/C47)</f>
        <v/>
      </c>
      <c r="D49" s="91" t="str">
        <f t="shared" si="36"/>
        <v/>
      </c>
      <c r="E49" s="91" t="str">
        <f t="shared" si="36"/>
        <v/>
      </c>
      <c r="F49" s="91" t="str">
        <f t="shared" si="36"/>
        <v/>
      </c>
      <c r="G49" s="91" t="str">
        <f t="shared" si="36"/>
        <v/>
      </c>
      <c r="H49" s="103">
        <f t="shared" si="36"/>
        <v>0.6922794336217637</v>
      </c>
      <c r="I49" s="103">
        <f t="shared" si="36"/>
        <v>0.69589444798042099</v>
      </c>
      <c r="J49" s="103">
        <f t="shared" si="36"/>
        <v>0.70492774258392454</v>
      </c>
      <c r="K49" s="103">
        <f t="shared" si="36"/>
        <v>0.68293687720601881</v>
      </c>
      <c r="L49" s="103">
        <f t="shared" ref="L49:M49" si="37">IF(ABS(L47)=0,"",+L46/L47)</f>
        <v>0.69830716272425775</v>
      </c>
      <c r="M49" s="103">
        <f t="shared" si="37"/>
        <v>0.71474404850760409</v>
      </c>
      <c r="N49" s="103">
        <f t="shared" ref="N49:U49" si="38">IF(ABS(N47)=0,"",+N46/N47)</f>
        <v>0.74918710414961553</v>
      </c>
      <c r="O49" s="103">
        <f t="shared" si="38"/>
        <v>0.74955339700253854</v>
      </c>
      <c r="P49" s="109">
        <f t="shared" si="38"/>
        <v>0.73185114411091168</v>
      </c>
      <c r="Q49" s="109">
        <f t="shared" ref="Q49:T49" si="39">IF(ABS(Q47)=0,"",+Q46/Q47)</f>
        <v>0.68387378515928754</v>
      </c>
      <c r="R49" s="109">
        <f t="shared" si="39"/>
        <v>0.59304057211074668</v>
      </c>
      <c r="S49" s="109">
        <f t="shared" si="39"/>
        <v>0.61976840672897149</v>
      </c>
      <c r="T49" s="109">
        <f t="shared" si="39"/>
        <v>0.66665709623511682</v>
      </c>
      <c r="U49" s="109">
        <f t="shared" si="38"/>
        <v>0.60491644713785409</v>
      </c>
      <c r="V49" s="109">
        <f t="shared" si="36"/>
        <v>0.63401813913224847</v>
      </c>
      <c r="W49" s="92"/>
      <c r="X49" s="92"/>
    </row>
    <row r="50" spans="1:32" ht="15" customHeight="1" x14ac:dyDescent="0.3">
      <c r="A50" s="72" t="s">
        <v>52</v>
      </c>
    </row>
    <row r="51" spans="1:32" ht="17.25" customHeight="1" x14ac:dyDescent="0.3">
      <c r="A51" s="72" t="s">
        <v>29</v>
      </c>
      <c r="C51" s="88">
        <f t="shared" ref="C51:M51" si="40">EOMONTH(D51,-12)</f>
        <v>37072</v>
      </c>
      <c r="D51" s="88">
        <f t="shared" si="40"/>
        <v>37437</v>
      </c>
      <c r="E51" s="88">
        <f t="shared" si="40"/>
        <v>37802</v>
      </c>
      <c r="F51" s="88">
        <f t="shared" si="40"/>
        <v>38168</v>
      </c>
      <c r="G51" s="88">
        <f t="shared" si="40"/>
        <v>38533</v>
      </c>
      <c r="H51" s="88">
        <f t="shared" si="40"/>
        <v>38898</v>
      </c>
      <c r="I51" s="88">
        <f t="shared" si="40"/>
        <v>39263</v>
      </c>
      <c r="J51" s="88">
        <f t="shared" si="40"/>
        <v>39629</v>
      </c>
      <c r="K51" s="88">
        <f t="shared" si="40"/>
        <v>39994</v>
      </c>
      <c r="L51" s="88">
        <f t="shared" si="40"/>
        <v>40359</v>
      </c>
      <c r="M51" s="88">
        <f t="shared" si="40"/>
        <v>40724</v>
      </c>
      <c r="N51" s="88">
        <f t="shared" ref="N51:U51" si="41">EOMONTH(O51,-12)</f>
        <v>41090</v>
      </c>
      <c r="O51" s="88">
        <f t="shared" si="41"/>
        <v>41455</v>
      </c>
      <c r="P51" s="88">
        <f t="shared" si="41"/>
        <v>41820</v>
      </c>
      <c r="Q51" s="88">
        <f t="shared" si="41"/>
        <v>42185</v>
      </c>
      <c r="R51" s="88">
        <f>EOMONTH(S51,-12)</f>
        <v>42551</v>
      </c>
      <c r="S51" s="88">
        <f t="shared" si="41"/>
        <v>42916</v>
      </c>
      <c r="T51" s="88">
        <f t="shared" si="41"/>
        <v>43281</v>
      </c>
      <c r="U51" s="88">
        <f t="shared" si="41"/>
        <v>43646</v>
      </c>
      <c r="V51" s="89">
        <v>44012</v>
      </c>
      <c r="W51" s="70"/>
      <c r="X51" s="70"/>
      <c r="AD51" s="78" t="s">
        <v>88</v>
      </c>
    </row>
    <row r="52" spans="1:32" ht="15" customHeight="1" x14ac:dyDescent="0.3">
      <c r="B52" s="90" t="s">
        <v>60</v>
      </c>
      <c r="C52" s="77">
        <v>0</v>
      </c>
      <c r="D52" s="77">
        <f>C52*1.05</f>
        <v>0</v>
      </c>
      <c r="E52" s="77">
        <f>D52*1.05</f>
        <v>0</v>
      </c>
      <c r="F52" s="77">
        <f>E52*1.05</f>
        <v>0</v>
      </c>
      <c r="G52" s="77">
        <f>F52*1.05</f>
        <v>0</v>
      </c>
      <c r="H52" s="81">
        <f>+I52-(I52*((+K52-J52)/J52))</f>
        <v>551802.94167921343</v>
      </c>
      <c r="I52" s="81">
        <f>+J52-(J52*((+K52-J52)/J52))</f>
        <v>739715</v>
      </c>
      <c r="J52" s="81">
        <f>783887+207732</f>
        <v>991619</v>
      </c>
      <c r="K52" s="81">
        <f>+J52+211000+54539-13635</f>
        <v>1243523</v>
      </c>
      <c r="L52" s="81">
        <f>+K52+191000+68394-30733</f>
        <v>1472184</v>
      </c>
      <c r="M52" s="81">
        <v>1713067</v>
      </c>
      <c r="N52" s="77">
        <v>1954537</v>
      </c>
      <c r="O52" s="77">
        <v>2222631</v>
      </c>
      <c r="P52" s="77">
        <f>+(U52+N52)*0.5</f>
        <v>4003744.5</v>
      </c>
      <c r="Q52" s="77">
        <v>2548768</v>
      </c>
      <c r="R52" s="77">
        <v>2938039</v>
      </c>
      <c r="S52" s="77">
        <v>4424767</v>
      </c>
      <c r="T52" s="77">
        <v>5162865</v>
      </c>
      <c r="U52" s="77">
        <v>6052952</v>
      </c>
      <c r="V52" s="77">
        <v>6575228</v>
      </c>
      <c r="Z52" s="115" t="s">
        <v>123</v>
      </c>
      <c r="AD52" s="121">
        <f>+(V53-J53)/J53</f>
        <v>0.42013176287058074</v>
      </c>
    </row>
    <row r="53" spans="1:32" ht="15" customHeight="1" x14ac:dyDescent="0.3">
      <c r="B53" s="90" t="s">
        <v>72</v>
      </c>
      <c r="C53" s="77"/>
      <c r="D53" s="77"/>
      <c r="E53" s="77"/>
      <c r="F53" s="77"/>
      <c r="G53" s="77"/>
      <c r="H53" s="81">
        <v>7147526</v>
      </c>
      <c r="I53" s="81">
        <v>7583526</v>
      </c>
      <c r="J53" s="81">
        <f>8046121</f>
        <v>8046121</v>
      </c>
      <c r="K53" s="81">
        <v>8537522</v>
      </c>
      <c r="L53" s="81">
        <v>9058934</v>
      </c>
      <c r="M53" s="81">
        <f>9520324+2697</f>
        <v>9523021</v>
      </c>
      <c r="N53" s="77">
        <v>9767577</v>
      </c>
      <c r="O53" s="77">
        <v>10211942</v>
      </c>
      <c r="P53" s="77">
        <f>(+U53+N53)*0.5</f>
        <v>10124580</v>
      </c>
      <c r="Q53" s="77">
        <v>10878659</v>
      </c>
      <c r="R53" s="77">
        <v>10789843</v>
      </c>
      <c r="S53" s="77">
        <v>10317438</v>
      </c>
      <c r="T53" s="77">
        <v>10844554</v>
      </c>
      <c r="U53" s="77">
        <v>10481583</v>
      </c>
      <c r="V53" s="77">
        <v>11426552</v>
      </c>
      <c r="W53" s="93"/>
      <c r="Z53" s="115" t="s">
        <v>123</v>
      </c>
      <c r="AD53" s="78" t="s">
        <v>89</v>
      </c>
      <c r="AF53" s="121">
        <f>+AD52/3</f>
        <v>0.14004392095686025</v>
      </c>
    </row>
    <row r="54" spans="1:32" ht="15" customHeight="1" x14ac:dyDescent="0.3">
      <c r="B54" s="90" t="s">
        <v>55</v>
      </c>
      <c r="H54" s="72">
        <f t="shared" ref="H54:V54" si="42">+H53-H52</f>
        <v>6595723.0583207868</v>
      </c>
      <c r="I54" s="72">
        <f t="shared" si="42"/>
        <v>6843811</v>
      </c>
      <c r="J54" s="72">
        <f t="shared" si="42"/>
        <v>7054502</v>
      </c>
      <c r="K54" s="72">
        <f t="shared" si="42"/>
        <v>7293999</v>
      </c>
      <c r="L54" s="72">
        <f t="shared" ref="L54:N54" si="43">+L53-L52</f>
        <v>7586750</v>
      </c>
      <c r="M54" s="72">
        <f t="shared" si="43"/>
        <v>7809954</v>
      </c>
      <c r="N54" s="72">
        <f t="shared" si="43"/>
        <v>7813040</v>
      </c>
      <c r="O54" s="72">
        <f t="shared" ref="O54:U54" si="44">+O53-O52</f>
        <v>7989311</v>
      </c>
      <c r="P54" s="72">
        <f t="shared" si="44"/>
        <v>6120835.5</v>
      </c>
      <c r="Q54" s="72">
        <f t="shared" ref="Q54:T54" si="45">+Q53-Q52</f>
        <v>8329891</v>
      </c>
      <c r="R54" s="72">
        <f t="shared" si="45"/>
        <v>7851804</v>
      </c>
      <c r="S54" s="72">
        <f t="shared" si="45"/>
        <v>5892671</v>
      </c>
      <c r="T54" s="72">
        <f t="shared" si="45"/>
        <v>5681689</v>
      </c>
      <c r="U54" s="72">
        <f t="shared" si="44"/>
        <v>4428631</v>
      </c>
      <c r="V54" s="72">
        <f t="shared" si="42"/>
        <v>4851324</v>
      </c>
      <c r="W54" s="83">
        <f>ROUND(U54/$U$74,2)</f>
        <v>493.11</v>
      </c>
      <c r="X54" s="83">
        <f>ROUND(V54/$V$74,2)</f>
        <v>538.29</v>
      </c>
    </row>
    <row r="55" spans="1:32" ht="15" customHeight="1" x14ac:dyDescent="0.3">
      <c r="A55" s="79"/>
      <c r="B55" s="72" t="s">
        <v>70</v>
      </c>
      <c r="C55" s="91" t="str">
        <f t="shared" ref="C55:V55" si="46">IF(ABS(C53)=0,"",+C52/C53)</f>
        <v/>
      </c>
      <c r="D55" s="91" t="str">
        <f t="shared" si="46"/>
        <v/>
      </c>
      <c r="E55" s="91" t="str">
        <f t="shared" si="46"/>
        <v/>
      </c>
      <c r="F55" s="91" t="str">
        <f t="shared" si="46"/>
        <v/>
      </c>
      <c r="G55" s="91" t="str">
        <f t="shared" si="46"/>
        <v/>
      </c>
      <c r="H55" s="103">
        <f t="shared" si="46"/>
        <v>7.7201949552784199E-2</v>
      </c>
      <c r="I55" s="103">
        <f t="shared" si="46"/>
        <v>9.7542356945832326E-2</v>
      </c>
      <c r="J55" s="103">
        <f t="shared" si="46"/>
        <v>0.12324187021298834</v>
      </c>
      <c r="K55" s="103">
        <f t="shared" si="46"/>
        <v>0.14565385600177663</v>
      </c>
      <c r="L55" s="103">
        <f t="shared" ref="L55:N55" si="47">IF(ABS(L53)=0,"",+L52/L53)</f>
        <v>0.16251183638163166</v>
      </c>
      <c r="M55" s="103">
        <f t="shared" si="47"/>
        <v>0.1798869287382649</v>
      </c>
      <c r="N55" s="103">
        <f t="shared" si="47"/>
        <v>0.2001045909338621</v>
      </c>
      <c r="O55" s="103">
        <f t="shared" ref="O55:U55" si="48">IF(ABS(O53)=0,"",+O52/O53)</f>
        <v>0.2176501785850331</v>
      </c>
      <c r="P55" s="109">
        <f t="shared" si="48"/>
        <v>0.39544795932275711</v>
      </c>
      <c r="Q55" s="109">
        <f t="shared" ref="Q55:T55" si="49">IF(ABS(Q53)=0,"",+Q52/Q53)</f>
        <v>0.23429064188885781</v>
      </c>
      <c r="R55" s="109">
        <f t="shared" si="49"/>
        <v>0.27229673314060271</v>
      </c>
      <c r="S55" s="109">
        <f t="shared" si="49"/>
        <v>0.42886295997126417</v>
      </c>
      <c r="T55" s="109">
        <f t="shared" si="49"/>
        <v>0.47607905313579518</v>
      </c>
      <c r="U55" s="109">
        <f t="shared" si="48"/>
        <v>0.57748452690781538</v>
      </c>
      <c r="V55" s="109">
        <f t="shared" si="46"/>
        <v>0.57543412921063153</v>
      </c>
      <c r="W55" s="92"/>
      <c r="X55" s="92"/>
    </row>
    <row r="56" spans="1:32" ht="15" customHeight="1" x14ac:dyDescent="0.3">
      <c r="A56" s="90" t="s">
        <v>38</v>
      </c>
    </row>
    <row r="57" spans="1:32" ht="15" customHeight="1" x14ac:dyDescent="0.3">
      <c r="B57" s="90" t="s">
        <v>60</v>
      </c>
      <c r="C57" s="72">
        <f t="shared" ref="C57:V57" si="50">+C46+C52</f>
        <v>0</v>
      </c>
      <c r="D57" s="72">
        <f t="shared" si="50"/>
        <v>0</v>
      </c>
      <c r="E57" s="72">
        <f t="shared" si="50"/>
        <v>0</v>
      </c>
      <c r="F57" s="72">
        <f t="shared" si="50"/>
        <v>0</v>
      </c>
      <c r="G57" s="72">
        <f t="shared" si="50"/>
        <v>0</v>
      </c>
      <c r="H57" s="72">
        <f t="shared" si="50"/>
        <v>11206519.941679213</v>
      </c>
      <c r="I57" s="72">
        <f t="shared" si="50"/>
        <v>12040640</v>
      </c>
      <c r="J57" s="72">
        <f t="shared" si="50"/>
        <v>13172886</v>
      </c>
      <c r="K57" s="72">
        <f t="shared" si="50"/>
        <v>13777792</v>
      </c>
      <c r="L57" s="72">
        <f t="shared" ref="L57:N57" si="51">+L46+L52</f>
        <v>14565650</v>
      </c>
      <c r="M57" s="72">
        <f t="shared" si="51"/>
        <v>15674943</v>
      </c>
      <c r="N57" s="72">
        <f t="shared" si="51"/>
        <v>17423362</v>
      </c>
      <c r="O57" s="72">
        <f t="shared" ref="O57:U57" si="52">+O46+O52</f>
        <v>18132072</v>
      </c>
      <c r="P57" s="72">
        <f t="shared" si="52"/>
        <v>20512040.5</v>
      </c>
      <c r="Q57" s="72">
        <f t="shared" ref="Q57:T57" si="53">+Q46+Q52</f>
        <v>18396736</v>
      </c>
      <c r="R57" s="72">
        <f t="shared" si="53"/>
        <v>18312397</v>
      </c>
      <c r="S57" s="72">
        <f t="shared" si="53"/>
        <v>20817743</v>
      </c>
      <c r="T57" s="72">
        <f t="shared" si="53"/>
        <v>23181067</v>
      </c>
      <c r="U57" s="72">
        <f t="shared" si="52"/>
        <v>23020078</v>
      </c>
      <c r="V57" s="72">
        <f t="shared" si="50"/>
        <v>25269871</v>
      </c>
    </row>
    <row r="58" spans="1:32" ht="15" customHeight="1" x14ac:dyDescent="0.3">
      <c r="B58" s="90" t="s">
        <v>72</v>
      </c>
      <c r="C58" s="72">
        <f t="shared" ref="C58:V58" si="54">+C47+C53</f>
        <v>0</v>
      </c>
      <c r="D58" s="72">
        <f t="shared" si="54"/>
        <v>0</v>
      </c>
      <c r="E58" s="72">
        <f t="shared" si="54"/>
        <v>0</v>
      </c>
      <c r="F58" s="72">
        <f t="shared" si="54"/>
        <v>0</v>
      </c>
      <c r="G58" s="72">
        <f t="shared" si="54"/>
        <v>0</v>
      </c>
      <c r="H58" s="72">
        <f t="shared" si="54"/>
        <v>22538301</v>
      </c>
      <c r="I58" s="72">
        <f t="shared" si="54"/>
        <v>23822950</v>
      </c>
      <c r="J58" s="72">
        <f t="shared" si="54"/>
        <v>25326285</v>
      </c>
      <c r="K58" s="72">
        <f t="shared" si="54"/>
        <v>26891003</v>
      </c>
      <c r="L58" s="72">
        <f t="shared" ref="L58:N58" si="55">+L47+L53</f>
        <v>27809230</v>
      </c>
      <c r="M58" s="72">
        <f t="shared" si="55"/>
        <v>29057113</v>
      </c>
      <c r="N58" s="72">
        <f t="shared" si="55"/>
        <v>30415056</v>
      </c>
      <c r="O58" s="72">
        <f t="shared" ref="O58:U58" si="56">+O47+O53</f>
        <v>31437169</v>
      </c>
      <c r="P58" s="72">
        <f t="shared" si="56"/>
        <v>32681484</v>
      </c>
      <c r="Q58" s="72">
        <f t="shared" ref="Q58:T58" si="57">+Q47+Q53</f>
        <v>34052479</v>
      </c>
      <c r="R58" s="72">
        <f t="shared" si="57"/>
        <v>36714474</v>
      </c>
      <c r="S58" s="72">
        <f t="shared" si="57"/>
        <v>36767602</v>
      </c>
      <c r="T58" s="72">
        <f t="shared" si="57"/>
        <v>37872245</v>
      </c>
      <c r="U58" s="72">
        <f t="shared" si="56"/>
        <v>38530293</v>
      </c>
      <c r="V58" s="72">
        <f t="shared" si="54"/>
        <v>40912527</v>
      </c>
    </row>
    <row r="59" spans="1:32" ht="15" customHeight="1" x14ac:dyDescent="0.3">
      <c r="B59" s="90" t="s">
        <v>55</v>
      </c>
      <c r="C59" s="72">
        <f t="shared" ref="C59:V59" si="58">+C58-C57</f>
        <v>0</v>
      </c>
      <c r="D59" s="72">
        <f t="shared" si="58"/>
        <v>0</v>
      </c>
      <c r="E59" s="72">
        <f t="shared" si="58"/>
        <v>0</v>
      </c>
      <c r="F59" s="72">
        <f t="shared" si="58"/>
        <v>0</v>
      </c>
      <c r="G59" s="72">
        <f t="shared" si="58"/>
        <v>0</v>
      </c>
      <c r="H59" s="72">
        <f t="shared" si="58"/>
        <v>11331781.058320787</v>
      </c>
      <c r="I59" s="72">
        <f t="shared" si="58"/>
        <v>11782310</v>
      </c>
      <c r="J59" s="72">
        <f t="shared" si="58"/>
        <v>12153399</v>
      </c>
      <c r="K59" s="72">
        <f t="shared" si="58"/>
        <v>13113211</v>
      </c>
      <c r="L59" s="72">
        <f t="shared" ref="L59:N59" si="59">+L58-L57</f>
        <v>13243580</v>
      </c>
      <c r="M59" s="72">
        <f t="shared" si="59"/>
        <v>13382170</v>
      </c>
      <c r="N59" s="72">
        <f t="shared" si="59"/>
        <v>12991694</v>
      </c>
      <c r="O59" s="72">
        <f t="shared" ref="O59:U59" si="60">+O58-O57</f>
        <v>13305097</v>
      </c>
      <c r="P59" s="72">
        <f t="shared" si="60"/>
        <v>12169443.5</v>
      </c>
      <c r="Q59" s="72">
        <f t="shared" ref="Q59:T59" si="61">+Q58-Q57</f>
        <v>15655743</v>
      </c>
      <c r="R59" s="72">
        <f t="shared" si="61"/>
        <v>18402077</v>
      </c>
      <c r="S59" s="72">
        <f t="shared" si="61"/>
        <v>15949859</v>
      </c>
      <c r="T59" s="72">
        <f t="shared" si="61"/>
        <v>14691178</v>
      </c>
      <c r="U59" s="72">
        <f t="shared" si="60"/>
        <v>15510215</v>
      </c>
      <c r="V59" s="72">
        <f t="shared" si="58"/>
        <v>15642656</v>
      </c>
      <c r="W59" s="83">
        <f>ROUND(U59/$U$74,2)</f>
        <v>1727</v>
      </c>
      <c r="X59" s="83">
        <f>ROUND(V59/$V$74,2)</f>
        <v>1735.68</v>
      </c>
    </row>
    <row r="60" spans="1:32" ht="15" customHeight="1" x14ac:dyDescent="0.3">
      <c r="B60" s="72" t="s">
        <v>70</v>
      </c>
      <c r="C60" s="91" t="str">
        <f t="shared" ref="C60:V60" si="62">IF(ABS(C58)=0,"",+C57/C58)</f>
        <v/>
      </c>
      <c r="D60" s="91" t="str">
        <f t="shared" si="62"/>
        <v/>
      </c>
      <c r="E60" s="91" t="str">
        <f t="shared" si="62"/>
        <v/>
      </c>
      <c r="F60" s="91" t="str">
        <f t="shared" si="62"/>
        <v/>
      </c>
      <c r="G60" s="91" t="str">
        <f t="shared" si="62"/>
        <v/>
      </c>
      <c r="H60" s="103">
        <f t="shared" si="62"/>
        <v>0.49722114997395828</v>
      </c>
      <c r="I60" s="103">
        <f t="shared" si="62"/>
        <v>0.50542187260603744</v>
      </c>
      <c r="J60" s="103">
        <f t="shared" si="62"/>
        <v>0.52012705377042068</v>
      </c>
      <c r="K60" s="103">
        <f t="shared" si="62"/>
        <v>0.51235693960541373</v>
      </c>
      <c r="L60" s="103">
        <f t="shared" ref="L60:N60" si="63">IF(ABS(L58)=0,"",+L57/L58)</f>
        <v>0.52377034531340849</v>
      </c>
      <c r="M60" s="103">
        <f t="shared" si="63"/>
        <v>0.53945286993928132</v>
      </c>
      <c r="N60" s="103">
        <f t="shared" si="63"/>
        <v>0.57285319481246388</v>
      </c>
      <c r="O60" s="103">
        <f t="shared" ref="O60:U60" si="64">IF(ABS(O58)=0,"",+O57/O58)</f>
        <v>0.57677178247188865</v>
      </c>
      <c r="P60" s="103">
        <f t="shared" si="64"/>
        <v>0.62763491706802543</v>
      </c>
      <c r="Q60" s="103">
        <f t="shared" ref="Q60:T60" si="65">IF(ABS(Q58)=0,"",+Q57/Q58)</f>
        <v>0.54024659996119517</v>
      </c>
      <c r="R60" s="103">
        <f t="shared" si="65"/>
        <v>0.49877868330620778</v>
      </c>
      <c r="S60" s="103">
        <f t="shared" si="65"/>
        <v>0.56619800769166284</v>
      </c>
      <c r="T60" s="103">
        <f t="shared" si="65"/>
        <v>0.61208589562092242</v>
      </c>
      <c r="U60" s="103">
        <f t="shared" si="64"/>
        <v>0.59745400846030416</v>
      </c>
      <c r="V60" s="103">
        <f t="shared" si="62"/>
        <v>0.61765607878486706</v>
      </c>
      <c r="W60" s="92"/>
      <c r="X60" s="92"/>
    </row>
    <row r="63" spans="1:32" ht="15" customHeight="1" x14ac:dyDescent="0.3">
      <c r="A63" s="72" t="s">
        <v>57</v>
      </c>
    </row>
    <row r="64" spans="1:32" ht="15" customHeight="1" x14ac:dyDescent="0.3">
      <c r="A64" s="84" t="s">
        <v>42</v>
      </c>
      <c r="C64" s="77"/>
      <c r="D64" s="77"/>
      <c r="E64" s="77"/>
      <c r="F64" s="77"/>
      <c r="G64" s="77"/>
      <c r="H64" s="77">
        <v>19220977</v>
      </c>
      <c r="I64" s="77">
        <v>18014662</v>
      </c>
      <c r="J64" s="77">
        <v>16736755</v>
      </c>
      <c r="K64" s="77">
        <v>15389739</v>
      </c>
      <c r="L64" s="77">
        <v>14015372</v>
      </c>
      <c r="M64" s="77">
        <v>12966725</v>
      </c>
      <c r="N64" s="77">
        <v>11961006</v>
      </c>
      <c r="O64" s="77">
        <v>11141192</v>
      </c>
      <c r="P64" s="77">
        <v>10174481</v>
      </c>
      <c r="Q64" s="77">
        <v>9277975</v>
      </c>
      <c r="R64" s="77">
        <v>8204192</v>
      </c>
      <c r="S64" s="77">
        <v>7090783</v>
      </c>
      <c r="T64" s="77">
        <f>7630833</f>
        <v>7630833</v>
      </c>
      <c r="U64" s="77">
        <v>6340094</v>
      </c>
      <c r="V64" s="77">
        <v>5026760</v>
      </c>
      <c r="Z64" s="117" t="s">
        <v>124</v>
      </c>
    </row>
    <row r="65" spans="1:26" ht="15" customHeight="1" x14ac:dyDescent="0.3">
      <c r="A65" s="84" t="s">
        <v>11</v>
      </c>
      <c r="C65" s="77"/>
      <c r="D65" s="77"/>
      <c r="E65" s="77"/>
      <c r="F65" s="77"/>
      <c r="G65" s="77"/>
      <c r="H65" s="77">
        <v>0</v>
      </c>
      <c r="I65" s="77">
        <v>0</v>
      </c>
      <c r="J65" s="77">
        <v>0</v>
      </c>
      <c r="K65" s="77">
        <v>0</v>
      </c>
      <c r="L65" s="77">
        <v>0</v>
      </c>
      <c r="M65" s="77">
        <v>0</v>
      </c>
      <c r="N65" s="77">
        <v>0</v>
      </c>
      <c r="O65" s="77">
        <v>0</v>
      </c>
      <c r="P65" s="77">
        <v>0</v>
      </c>
      <c r="Q65" s="77"/>
      <c r="R65" s="77">
        <v>0</v>
      </c>
      <c r="S65" s="77">
        <v>0</v>
      </c>
      <c r="T65" s="77">
        <v>0</v>
      </c>
      <c r="U65" s="77">
        <v>0</v>
      </c>
      <c r="V65" s="77">
        <v>0</v>
      </c>
    </row>
    <row r="66" spans="1:26" ht="15" customHeight="1" x14ac:dyDescent="0.3">
      <c r="A66" s="84" t="s">
        <v>73</v>
      </c>
      <c r="C66" s="77"/>
      <c r="D66" s="77"/>
      <c r="E66" s="77"/>
      <c r="F66" s="77"/>
      <c r="G66" s="77"/>
      <c r="H66" s="77">
        <v>0</v>
      </c>
      <c r="I66" s="77">
        <v>0</v>
      </c>
      <c r="J66" s="77">
        <v>0</v>
      </c>
      <c r="K66" s="77">
        <v>0</v>
      </c>
      <c r="L66" s="77">
        <v>0</v>
      </c>
      <c r="M66" s="77">
        <v>0</v>
      </c>
      <c r="N66" s="77">
        <v>0</v>
      </c>
      <c r="O66" s="77">
        <v>0</v>
      </c>
      <c r="P66" s="77">
        <v>0</v>
      </c>
      <c r="Q66" s="77"/>
      <c r="R66" s="94">
        <v>0</v>
      </c>
      <c r="S66" s="94">
        <v>0</v>
      </c>
      <c r="T66" s="94">
        <v>0</v>
      </c>
      <c r="U66" s="94">
        <v>0</v>
      </c>
      <c r="V66" s="94">
        <v>0</v>
      </c>
    </row>
    <row r="67" spans="1:26" ht="15" customHeight="1" x14ac:dyDescent="0.3">
      <c r="A67" s="95" t="s">
        <v>46</v>
      </c>
      <c r="B67" s="79"/>
      <c r="C67" s="96">
        <f t="shared" ref="C67:V67" si="66">SUM(C63:C66)</f>
        <v>0</v>
      </c>
      <c r="D67" s="96">
        <f t="shared" si="66"/>
        <v>0</v>
      </c>
      <c r="E67" s="96">
        <f t="shared" si="66"/>
        <v>0</v>
      </c>
      <c r="F67" s="96">
        <f t="shared" si="66"/>
        <v>0</v>
      </c>
      <c r="G67" s="96">
        <f t="shared" si="66"/>
        <v>0</v>
      </c>
      <c r="H67" s="96">
        <f t="shared" si="66"/>
        <v>19220977</v>
      </c>
      <c r="I67" s="96">
        <f t="shared" si="66"/>
        <v>18014662</v>
      </c>
      <c r="J67" s="96">
        <f t="shared" si="66"/>
        <v>16736755</v>
      </c>
      <c r="K67" s="96">
        <f t="shared" si="66"/>
        <v>15389739</v>
      </c>
      <c r="L67" s="96">
        <f t="shared" ref="L67:M67" si="67">SUM(L63:L66)</f>
        <v>14015372</v>
      </c>
      <c r="M67" s="96">
        <f t="shared" si="67"/>
        <v>12966725</v>
      </c>
      <c r="N67" s="96">
        <f t="shared" ref="N67:O67" si="68">SUM(N63:N66)</f>
        <v>11961006</v>
      </c>
      <c r="O67" s="96">
        <f t="shared" si="68"/>
        <v>11141192</v>
      </c>
      <c r="P67" s="96">
        <f t="shared" ref="P67:U67" si="69">SUM(P63:P66)</f>
        <v>10174481</v>
      </c>
      <c r="Q67" s="96">
        <f t="shared" ref="Q67:T67" si="70">SUM(Q63:Q66)</f>
        <v>9277975</v>
      </c>
      <c r="R67" s="96">
        <f t="shared" si="70"/>
        <v>8204192</v>
      </c>
      <c r="S67" s="96">
        <f t="shared" si="70"/>
        <v>7090783</v>
      </c>
      <c r="T67" s="96">
        <f t="shared" si="70"/>
        <v>7630833</v>
      </c>
      <c r="U67" s="96">
        <f t="shared" si="69"/>
        <v>6340094</v>
      </c>
      <c r="V67" s="96">
        <f t="shared" si="66"/>
        <v>5026760</v>
      </c>
      <c r="W67" s="83">
        <f t="shared" ref="W67:W72" si="71">ROUND(U67/$U$74,2)</f>
        <v>705.95</v>
      </c>
      <c r="X67" s="83">
        <f t="shared" ref="X67:X72" si="72">ROUND(V67/$V$74,2)</f>
        <v>557.76</v>
      </c>
    </row>
    <row r="68" spans="1:26" ht="15" customHeight="1" x14ac:dyDescent="0.3">
      <c r="A68" s="72" t="s">
        <v>47</v>
      </c>
      <c r="C68" s="77"/>
      <c r="D68" s="77"/>
      <c r="E68" s="77"/>
      <c r="F68" s="77"/>
      <c r="G68" s="77"/>
      <c r="H68" s="77">
        <v>946607</v>
      </c>
      <c r="I68" s="77">
        <v>979859</v>
      </c>
      <c r="J68" s="77">
        <v>1066132</v>
      </c>
      <c r="K68" s="77">
        <v>1152532</v>
      </c>
      <c r="L68" s="77">
        <v>1232577</v>
      </c>
      <c r="M68" s="77">
        <v>1290487</v>
      </c>
      <c r="N68" s="77">
        <v>1057117</v>
      </c>
      <c r="O68" s="77">
        <v>1088193</v>
      </c>
      <c r="P68" s="77">
        <v>1052864</v>
      </c>
      <c r="Q68" s="77">
        <v>1126816</v>
      </c>
      <c r="R68" s="77">
        <v>1067985</v>
      </c>
      <c r="S68" s="77">
        <v>1106735</v>
      </c>
      <c r="T68" s="77">
        <f>1137046</f>
        <v>1137046</v>
      </c>
      <c r="U68" s="77">
        <v>1233457</v>
      </c>
      <c r="V68" s="77">
        <v>1059408</v>
      </c>
      <c r="W68" s="83">
        <f t="shared" si="71"/>
        <v>137.34</v>
      </c>
      <c r="X68" s="83">
        <f t="shared" si="72"/>
        <v>117.55</v>
      </c>
      <c r="Z68" s="117" t="s">
        <v>104</v>
      </c>
    </row>
    <row r="69" spans="1:26" ht="15" customHeight="1" x14ac:dyDescent="0.3">
      <c r="A69" s="72" t="s">
        <v>50</v>
      </c>
      <c r="C69" s="77"/>
      <c r="D69" s="77"/>
      <c r="E69" s="77"/>
      <c r="F69" s="77"/>
      <c r="G69" s="77"/>
      <c r="H69" s="77">
        <v>0</v>
      </c>
      <c r="I69" s="77">
        <v>0</v>
      </c>
      <c r="J69" s="77">
        <v>0</v>
      </c>
      <c r="K69" s="77">
        <v>0</v>
      </c>
      <c r="L69" s="77">
        <v>0</v>
      </c>
      <c r="M69" s="77"/>
      <c r="N69" s="77"/>
      <c r="O69" s="77"/>
      <c r="P69" s="77">
        <v>0</v>
      </c>
      <c r="Q69" s="77"/>
      <c r="R69" s="77">
        <v>0</v>
      </c>
      <c r="S69" s="77">
        <v>0</v>
      </c>
      <c r="T69" s="77">
        <v>0</v>
      </c>
      <c r="U69" s="77">
        <v>0</v>
      </c>
      <c r="V69" s="77">
        <v>0</v>
      </c>
      <c r="W69" s="83">
        <f t="shared" si="71"/>
        <v>0</v>
      </c>
      <c r="X69" s="83">
        <f t="shared" si="72"/>
        <v>0</v>
      </c>
    </row>
    <row r="70" spans="1:26" ht="15" customHeight="1" x14ac:dyDescent="0.3">
      <c r="A70" s="72" t="s">
        <v>35</v>
      </c>
      <c r="C70" s="77"/>
      <c r="D70" s="77"/>
      <c r="E70" s="77"/>
      <c r="F70" s="77"/>
      <c r="G70" s="77"/>
      <c r="H70" s="77">
        <v>0</v>
      </c>
      <c r="I70" s="77">
        <v>0</v>
      </c>
      <c r="J70" s="77">
        <v>0</v>
      </c>
      <c r="K70" s="77">
        <v>0</v>
      </c>
      <c r="L70" s="77">
        <v>0</v>
      </c>
      <c r="M70" s="77"/>
      <c r="N70" s="77"/>
      <c r="O70" s="77"/>
      <c r="P70" s="77">
        <v>0</v>
      </c>
      <c r="Q70" s="77"/>
      <c r="R70" s="77">
        <v>0</v>
      </c>
      <c r="S70" s="77">
        <v>0</v>
      </c>
      <c r="T70" s="77">
        <v>0</v>
      </c>
      <c r="U70" s="77">
        <v>0</v>
      </c>
      <c r="V70" s="77">
        <v>0</v>
      </c>
      <c r="W70" s="83">
        <f t="shared" si="71"/>
        <v>0</v>
      </c>
      <c r="X70" s="83">
        <f t="shared" si="72"/>
        <v>0</v>
      </c>
    </row>
    <row r="71" spans="1:26" ht="15" customHeight="1" x14ac:dyDescent="0.3">
      <c r="A71" s="72" t="s">
        <v>45</v>
      </c>
      <c r="C71" s="77"/>
      <c r="D71" s="77"/>
      <c r="E71" s="77"/>
      <c r="F71" s="77"/>
      <c r="G71" s="77"/>
      <c r="H71" s="77">
        <v>0</v>
      </c>
      <c r="I71" s="77">
        <v>0</v>
      </c>
      <c r="J71" s="77">
        <v>0</v>
      </c>
      <c r="K71" s="77">
        <v>0</v>
      </c>
      <c r="L71" s="77">
        <v>0</v>
      </c>
      <c r="M71" s="77"/>
      <c r="N71" s="77"/>
      <c r="O71" s="77"/>
      <c r="P71" s="77">
        <v>0</v>
      </c>
      <c r="Q71" s="77"/>
      <c r="R71" s="77">
        <v>0</v>
      </c>
      <c r="S71" s="77">
        <v>0</v>
      </c>
      <c r="T71" s="77">
        <v>0</v>
      </c>
      <c r="U71" s="77">
        <v>0</v>
      </c>
      <c r="V71" s="77">
        <v>0</v>
      </c>
      <c r="W71" s="83">
        <f t="shared" si="71"/>
        <v>0</v>
      </c>
      <c r="X71" s="83">
        <f t="shared" si="72"/>
        <v>0</v>
      </c>
    </row>
    <row r="72" spans="1:26" ht="15.75" customHeight="1" x14ac:dyDescent="0.3">
      <c r="B72" s="72" t="s">
        <v>2</v>
      </c>
      <c r="C72" s="82">
        <f t="shared" ref="C72:K72" si="73">SUM(C67:C71)</f>
        <v>0</v>
      </c>
      <c r="D72" s="82">
        <f t="shared" si="73"/>
        <v>0</v>
      </c>
      <c r="E72" s="82">
        <f t="shared" si="73"/>
        <v>0</v>
      </c>
      <c r="F72" s="82">
        <f t="shared" si="73"/>
        <v>0</v>
      </c>
      <c r="G72" s="82">
        <f t="shared" si="73"/>
        <v>0</v>
      </c>
      <c r="H72" s="82">
        <f t="shared" si="73"/>
        <v>20167584</v>
      </c>
      <c r="I72" s="82">
        <f t="shared" si="73"/>
        <v>18994521</v>
      </c>
      <c r="J72" s="82">
        <f t="shared" si="73"/>
        <v>17802887</v>
      </c>
      <c r="K72" s="82">
        <f t="shared" si="73"/>
        <v>16542271</v>
      </c>
      <c r="L72" s="82">
        <f t="shared" ref="L72:V72" si="74">SUM(L67:L71)</f>
        <v>15247949</v>
      </c>
      <c r="M72" s="82">
        <f t="shared" si="74"/>
        <v>14257212</v>
      </c>
      <c r="N72" s="82">
        <f t="shared" si="74"/>
        <v>13018123</v>
      </c>
      <c r="O72" s="82">
        <f t="shared" ref="O72:U72" si="75">SUM(O67:O71)</f>
        <v>12229385</v>
      </c>
      <c r="P72" s="82">
        <f t="shared" si="75"/>
        <v>11227345</v>
      </c>
      <c r="Q72" s="82">
        <f t="shared" si="75"/>
        <v>10404791</v>
      </c>
      <c r="R72" s="82">
        <f t="shared" ref="R72:T72" si="76">SUM(R67:R71)</f>
        <v>9272177</v>
      </c>
      <c r="S72" s="82">
        <f t="shared" si="76"/>
        <v>8197518</v>
      </c>
      <c r="T72" s="82">
        <f t="shared" si="76"/>
        <v>8767879</v>
      </c>
      <c r="U72" s="82">
        <f t="shared" si="75"/>
        <v>7573551</v>
      </c>
      <c r="V72" s="82">
        <f t="shared" si="74"/>
        <v>6086168</v>
      </c>
      <c r="W72" s="83">
        <f t="shared" si="71"/>
        <v>843.29</v>
      </c>
      <c r="X72" s="83">
        <f t="shared" si="72"/>
        <v>675.31</v>
      </c>
    </row>
    <row r="73" spans="1:26" ht="15.75" customHeight="1" x14ac:dyDescent="0.3"/>
    <row r="74" spans="1:26" ht="15" customHeight="1" x14ac:dyDescent="0.3">
      <c r="A74" s="71" t="s">
        <v>18</v>
      </c>
      <c r="B74" s="71"/>
      <c r="C74" s="77"/>
      <c r="D74" s="77"/>
      <c r="E74" s="77"/>
      <c r="F74" s="77"/>
      <c r="G74" s="77"/>
      <c r="H74" s="77">
        <v>8817</v>
      </c>
      <c r="I74" s="77">
        <v>8950</v>
      </c>
      <c r="J74" s="77">
        <v>8882</v>
      </c>
      <c r="K74" s="77">
        <v>8932</v>
      </c>
      <c r="L74" s="77">
        <v>8810</v>
      </c>
      <c r="M74" s="77">
        <v>8900</v>
      </c>
      <c r="N74" s="77">
        <v>8990</v>
      </c>
      <c r="O74" s="77">
        <v>8990</v>
      </c>
      <c r="P74" s="77">
        <v>8953</v>
      </c>
      <c r="Q74" s="77">
        <v>8896</v>
      </c>
      <c r="R74" s="77">
        <v>8897</v>
      </c>
      <c r="S74" s="77">
        <v>8986</v>
      </c>
      <c r="T74" s="77">
        <v>8945</v>
      </c>
      <c r="U74" s="77">
        <v>8981</v>
      </c>
      <c r="V74" s="77">
        <f>+U74*1.0035</f>
        <v>9012.433500000001</v>
      </c>
      <c r="Z74" s="122" t="s">
        <v>85</v>
      </c>
    </row>
    <row r="75" spans="1:26" ht="15" customHeight="1" x14ac:dyDescent="0.3">
      <c r="Z75" s="123" t="s">
        <v>100</v>
      </c>
    </row>
    <row r="76" spans="1:26" ht="15" customHeight="1" x14ac:dyDescent="0.3">
      <c r="A76" s="71" t="s">
        <v>25</v>
      </c>
      <c r="Z76" s="75"/>
    </row>
    <row r="77" spans="1:26" ht="15" customHeight="1" x14ac:dyDescent="0.3">
      <c r="A77" s="97" t="s">
        <v>91</v>
      </c>
      <c r="B77" s="77"/>
      <c r="C77" s="77"/>
      <c r="D77" s="77"/>
      <c r="E77" s="77"/>
      <c r="F77" s="77"/>
      <c r="G77" s="77"/>
      <c r="H77" s="77"/>
      <c r="I77" s="77"/>
      <c r="J77" s="77"/>
      <c r="K77" s="77"/>
      <c r="L77" s="105"/>
      <c r="M77" s="105"/>
      <c r="N77" s="105"/>
      <c r="O77" s="105"/>
      <c r="P77" s="105"/>
      <c r="Q77" s="105"/>
      <c r="R77" s="105"/>
      <c r="S77" s="105"/>
      <c r="T77" s="104"/>
      <c r="U77" s="104"/>
      <c r="V77" s="104"/>
    </row>
    <row r="84" spans="1:22" ht="15" customHeight="1" x14ac:dyDescent="0.3">
      <c r="A84" s="98" t="s">
        <v>10</v>
      </c>
      <c r="B84" s="98"/>
      <c r="C84" s="98"/>
      <c r="D84" s="98"/>
      <c r="E84" s="98"/>
      <c r="F84" s="98"/>
      <c r="G84" s="98"/>
      <c r="H84" s="98"/>
      <c r="I84" s="98"/>
      <c r="J84" s="98"/>
      <c r="K84" s="98"/>
      <c r="L84" s="98"/>
      <c r="M84" s="98"/>
      <c r="N84" s="98"/>
      <c r="O84" s="98"/>
      <c r="P84" s="98"/>
      <c r="Q84" s="98"/>
      <c r="R84" s="98"/>
      <c r="S84" s="98"/>
      <c r="T84" s="98"/>
      <c r="U84" s="98"/>
      <c r="V84" s="98"/>
    </row>
    <row r="85" spans="1:22" ht="17.25" customHeight="1" x14ac:dyDescent="0.3">
      <c r="A85" s="98" t="s">
        <v>17</v>
      </c>
      <c r="B85" s="98">
        <v>11</v>
      </c>
      <c r="C85" s="99">
        <f t="shared" ref="C85:V85" si="77">+C2</f>
        <v>2001</v>
      </c>
      <c r="D85" s="99">
        <f t="shared" si="77"/>
        <v>2002</v>
      </c>
      <c r="E85" s="99">
        <f t="shared" si="77"/>
        <v>2003</v>
      </c>
      <c r="F85" s="99">
        <f t="shared" si="77"/>
        <v>2004</v>
      </c>
      <c r="G85" s="99">
        <f t="shared" si="77"/>
        <v>2005</v>
      </c>
      <c r="H85" s="99">
        <f t="shared" si="77"/>
        <v>2006</v>
      </c>
      <c r="I85" s="99">
        <f t="shared" si="77"/>
        <v>2007</v>
      </c>
      <c r="J85" s="99">
        <f t="shared" si="77"/>
        <v>2008</v>
      </c>
      <c r="K85" s="99">
        <f t="shared" si="77"/>
        <v>2009</v>
      </c>
      <c r="L85" s="99">
        <f t="shared" ref="L85:N85" si="78">+L2</f>
        <v>2010</v>
      </c>
      <c r="M85" s="99">
        <f t="shared" si="78"/>
        <v>2011</v>
      </c>
      <c r="N85" s="99">
        <f t="shared" si="78"/>
        <v>2012</v>
      </c>
      <c r="O85" s="99">
        <f t="shared" ref="O85:U85" si="79">+O2</f>
        <v>2013</v>
      </c>
      <c r="P85" s="99">
        <f t="shared" si="79"/>
        <v>2014</v>
      </c>
      <c r="Q85" s="99">
        <f t="shared" si="79"/>
        <v>2015</v>
      </c>
      <c r="R85" s="99">
        <f t="shared" ref="R85:T85" si="80">+R2</f>
        <v>2016</v>
      </c>
      <c r="S85" s="99">
        <f t="shared" si="80"/>
        <v>2017</v>
      </c>
      <c r="T85" s="99">
        <f t="shared" si="80"/>
        <v>2018</v>
      </c>
      <c r="U85" s="99">
        <f t="shared" si="79"/>
        <v>2019</v>
      </c>
      <c r="V85" s="99">
        <f t="shared" si="77"/>
        <v>2020</v>
      </c>
    </row>
    <row r="86" spans="1:22" ht="15" customHeight="1" x14ac:dyDescent="0.3">
      <c r="A86" s="98"/>
      <c r="B86" s="98" t="str">
        <f>INDEX(B7:B17,B85)</f>
        <v>Total Revenue</v>
      </c>
      <c r="C86" s="98">
        <f t="shared" ref="C86:V86" si="81">INDEX(C$7:C$17,$B$85)</f>
        <v>0</v>
      </c>
      <c r="D86" s="98">
        <f t="shared" si="81"/>
        <v>0</v>
      </c>
      <c r="E86" s="98">
        <f t="shared" si="81"/>
        <v>0</v>
      </c>
      <c r="F86" s="98">
        <f t="shared" si="81"/>
        <v>0</v>
      </c>
      <c r="G86" s="98">
        <f t="shared" si="81"/>
        <v>0</v>
      </c>
      <c r="H86" s="98">
        <f t="shared" si="81"/>
        <v>17876988</v>
      </c>
      <c r="I86" s="98">
        <f t="shared" si="81"/>
        <v>11546549</v>
      </c>
      <c r="J86" s="98">
        <f t="shared" si="81"/>
        <v>11591533</v>
      </c>
      <c r="K86" s="98">
        <f t="shared" si="81"/>
        <v>11302843</v>
      </c>
      <c r="L86" s="98">
        <f t="shared" si="81"/>
        <v>10691180</v>
      </c>
      <c r="M86" s="98">
        <f t="shared" si="81"/>
        <v>10238600</v>
      </c>
      <c r="N86" s="98">
        <f t="shared" si="81"/>
        <v>10651726</v>
      </c>
      <c r="O86" s="98">
        <f t="shared" si="81"/>
        <v>10956737</v>
      </c>
      <c r="P86" s="98">
        <f t="shared" si="81"/>
        <v>10724129</v>
      </c>
      <c r="Q86" s="98">
        <f t="shared" si="81"/>
        <v>10865323</v>
      </c>
      <c r="R86" s="98">
        <f t="shared" si="81"/>
        <v>11443439</v>
      </c>
      <c r="S86" s="98">
        <f t="shared" si="81"/>
        <v>12921254</v>
      </c>
      <c r="T86" s="98">
        <f t="shared" si="81"/>
        <v>15928095</v>
      </c>
      <c r="U86" s="98">
        <f t="shared" si="81"/>
        <v>13663998</v>
      </c>
      <c r="V86" s="98">
        <f t="shared" si="81"/>
        <v>13569612</v>
      </c>
    </row>
    <row r="87" spans="1:22" ht="15" customHeight="1" x14ac:dyDescent="0.3">
      <c r="A87" s="98" t="s">
        <v>71</v>
      </c>
      <c r="B87" s="98">
        <v>14</v>
      </c>
      <c r="C87" s="98"/>
      <c r="D87" s="98"/>
      <c r="E87" s="98"/>
      <c r="F87" s="98"/>
      <c r="G87" s="98"/>
      <c r="H87" s="98"/>
      <c r="I87" s="98"/>
      <c r="J87" s="98"/>
      <c r="K87" s="98"/>
      <c r="L87" s="98"/>
      <c r="M87" s="98"/>
      <c r="N87" s="98"/>
      <c r="O87" s="98"/>
      <c r="P87" s="98"/>
      <c r="Q87" s="98"/>
      <c r="R87" s="98"/>
      <c r="S87" s="98"/>
      <c r="T87" s="98"/>
      <c r="U87" s="98"/>
      <c r="V87" s="98"/>
    </row>
    <row r="88" spans="1:22" ht="15" customHeight="1" x14ac:dyDescent="0.3">
      <c r="A88" s="98"/>
      <c r="B88" s="98" t="str">
        <f t="shared" ref="B88:V88" si="82">INDEX(B$19:B$32,$B$87)</f>
        <v>Total Expenditures</v>
      </c>
      <c r="C88" s="98">
        <f t="shared" si="82"/>
        <v>0</v>
      </c>
      <c r="D88" s="98">
        <f t="shared" si="82"/>
        <v>0</v>
      </c>
      <c r="E88" s="98">
        <f t="shared" si="82"/>
        <v>0</v>
      </c>
      <c r="F88" s="98">
        <f t="shared" si="82"/>
        <v>0</v>
      </c>
      <c r="G88" s="98">
        <f t="shared" si="82"/>
        <v>0</v>
      </c>
      <c r="H88" s="98">
        <f t="shared" si="82"/>
        <v>11624174</v>
      </c>
      <c r="I88" s="98">
        <f t="shared" si="82"/>
        <v>17186789</v>
      </c>
      <c r="J88" s="98">
        <f t="shared" si="82"/>
        <v>10930280</v>
      </c>
      <c r="K88" s="98">
        <f t="shared" si="82"/>
        <v>11621229</v>
      </c>
      <c r="L88" s="98">
        <f t="shared" si="82"/>
        <v>11004756</v>
      </c>
      <c r="M88" s="98">
        <f t="shared" si="82"/>
        <v>11229476</v>
      </c>
      <c r="N88" s="98">
        <f t="shared" si="82"/>
        <v>11806690</v>
      </c>
      <c r="O88" s="98">
        <f t="shared" si="82"/>
        <v>10912966</v>
      </c>
      <c r="P88" s="98">
        <f t="shared" si="82"/>
        <v>10571275</v>
      </c>
      <c r="Q88" s="98">
        <f t="shared" si="82"/>
        <v>10193990</v>
      </c>
      <c r="R88" s="98">
        <f t="shared" si="82"/>
        <v>11580379</v>
      </c>
      <c r="S88" s="98">
        <f t="shared" si="82"/>
        <v>11969375</v>
      </c>
      <c r="T88" s="98">
        <f t="shared" si="82"/>
        <v>14052729</v>
      </c>
      <c r="U88" s="98">
        <f t="shared" si="82"/>
        <v>13277795</v>
      </c>
      <c r="V88" s="98">
        <f t="shared" si="82"/>
        <v>12570606</v>
      </c>
    </row>
  </sheetData>
  <sheetProtection formatCells="0" formatColumns="0" formatRows="0" insertColumns="0" insertRows="0" insertHyperlinks="0" deleteColumns="0" deleteRows="0" sort="0" autoFilter="0" pivotTables="0"/>
  <mergeCells count="1">
    <mergeCell ref="W1:X1"/>
  </mergeCells>
  <printOptions horizontalCentered="1"/>
  <pageMargins left="0.2" right="0.2" top="0.5" bottom="0.25" header="0.3" footer="0.3"/>
  <pageSetup scale="87" fitToHeight="5" orientation="landscape" r:id="rId1"/>
  <rowBreaks count="1" manualBreakCount="1">
    <brk id="41" max="19" man="1"/>
  </rowBreaks>
  <ignoredErrors>
    <ignoredError sqref="I41:K41 M41:N41 U41:V41 P41 Q41:R41" formulaRange="1"/>
    <ignoredError sqref="L17 O17" formula="1"/>
    <ignoredError sqref="L41 O41" formula="1" formulaRange="1"/>
  </ignoredError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L42"/>
  <sheetViews>
    <sheetView showGridLines="0" tabSelected="1" zoomScaleNormal="100" workbookViewId="0"/>
  </sheetViews>
  <sheetFormatPr defaultColWidth="4.33203125" defaultRowHeight="15" customHeight="1" x14ac:dyDescent="0.3"/>
  <cols>
    <col min="1" max="1" width="4.33203125" style="11" customWidth="1"/>
    <col min="2" max="6" width="12.109375" style="11" customWidth="1"/>
    <col min="7" max="7" width="8.33203125" style="11" customWidth="1"/>
    <col min="8" max="9" width="12.109375" style="11" customWidth="1"/>
    <col min="10" max="11" width="14" style="11" bestFit="1" customWidth="1"/>
    <col min="12" max="12" width="12.109375" style="11" customWidth="1"/>
    <col min="13" max="13" width="4.109375" style="11" customWidth="1"/>
    <col min="14" max="14" width="4.33203125" style="11" customWidth="1"/>
    <col min="15" max="16384" width="4.33203125" style="11"/>
  </cols>
  <sheetData>
    <row r="1" spans="2:12" ht="15.75" customHeight="1" x14ac:dyDescent="0.3">
      <c r="B1" s="9" t="str">
        <f>+'Data Input'!A1</f>
        <v>CITIZENS' GUIDE TO LOCAL UNIT FINANCES - Saline - Washtenaw</v>
      </c>
      <c r="C1" s="5"/>
      <c r="D1" s="5"/>
      <c r="E1" s="5"/>
      <c r="F1" s="10"/>
      <c r="G1" s="10"/>
      <c r="L1" s="54" t="s">
        <v>68</v>
      </c>
    </row>
    <row r="2" spans="2:12" ht="15" customHeight="1" x14ac:dyDescent="0.3">
      <c r="B2" s="12"/>
      <c r="F2" s="10"/>
      <c r="G2" s="10"/>
      <c r="L2" s="13"/>
    </row>
    <row r="3" spans="2:12" ht="15.75" customHeight="1" x14ac:dyDescent="0.3">
      <c r="B3" s="125" t="s">
        <v>22</v>
      </c>
      <c r="C3" s="126"/>
      <c r="D3" s="126"/>
      <c r="E3" s="126"/>
      <c r="F3" s="14"/>
      <c r="H3" s="133" t="s">
        <v>62</v>
      </c>
      <c r="I3" s="134"/>
      <c r="J3" s="134"/>
      <c r="K3" s="15"/>
      <c r="L3" s="16"/>
    </row>
    <row r="4" spans="2:12" ht="15.75" customHeight="1" x14ac:dyDescent="0.3">
      <c r="B4" s="20"/>
      <c r="C4" s="21"/>
      <c r="D4" s="21"/>
      <c r="E4" s="21"/>
      <c r="F4" s="22"/>
      <c r="H4" s="26"/>
      <c r="I4" s="27"/>
      <c r="J4" s="28">
        <f>+'Data Input'!V2</f>
        <v>2020</v>
      </c>
      <c r="K4" s="28">
        <f>+'Data Input'!U2</f>
        <v>2019</v>
      </c>
      <c r="L4" s="29" t="s">
        <v>44</v>
      </c>
    </row>
    <row r="5" spans="2:12" ht="15.75" customHeight="1" x14ac:dyDescent="0.3">
      <c r="B5" s="20"/>
      <c r="C5" s="21"/>
      <c r="D5" s="21"/>
      <c r="E5" s="21"/>
      <c r="F5" s="22"/>
      <c r="H5" s="127" t="s">
        <v>82</v>
      </c>
      <c r="I5" s="128"/>
      <c r="J5" s="5">
        <f>+'Data Input'!V7</f>
        <v>7793411</v>
      </c>
      <c r="K5" s="5">
        <f>'Data Input'!U7</f>
        <v>6908231</v>
      </c>
      <c r="L5" s="57">
        <f t="shared" ref="L5:L15" si="0">IF(K5=0,"n/a",(J5-K5)/K5)</f>
        <v>0.12813410553295049</v>
      </c>
    </row>
    <row r="6" spans="2:12" ht="15.75" customHeight="1" x14ac:dyDescent="0.3">
      <c r="B6" s="20"/>
      <c r="C6" s="21"/>
      <c r="D6" s="21"/>
      <c r="E6" s="21"/>
      <c r="F6" s="22"/>
      <c r="H6" s="129" t="s">
        <v>65</v>
      </c>
      <c r="I6" s="130"/>
      <c r="J6" s="27">
        <f>+'Data Input'!V8</f>
        <v>646937</v>
      </c>
      <c r="K6" s="30">
        <f>'Data Input'!U8</f>
        <v>715425</v>
      </c>
      <c r="L6" s="58">
        <f t="shared" si="0"/>
        <v>-9.5730509836810293E-2</v>
      </c>
    </row>
    <row r="7" spans="2:12" ht="15.75" customHeight="1" x14ac:dyDescent="0.3">
      <c r="B7" s="20"/>
      <c r="C7" s="21"/>
      <c r="D7" s="21"/>
      <c r="E7" s="21"/>
      <c r="F7" s="22"/>
      <c r="H7" s="127" t="s">
        <v>20</v>
      </c>
      <c r="I7" s="128"/>
      <c r="J7" s="5">
        <f>+'Data Input'!V9</f>
        <v>0</v>
      </c>
      <c r="K7" s="5">
        <f>'Data Input'!U9</f>
        <v>0</v>
      </c>
      <c r="L7" s="59" t="str">
        <f t="shared" si="0"/>
        <v>n/a</v>
      </c>
    </row>
    <row r="8" spans="2:12" ht="15.75" customHeight="1" x14ac:dyDescent="0.3">
      <c r="B8" s="20"/>
      <c r="C8" s="21"/>
      <c r="D8" s="21"/>
      <c r="E8" s="21"/>
      <c r="F8" s="22"/>
      <c r="H8" s="129" t="s">
        <v>75</v>
      </c>
      <c r="I8" s="130"/>
      <c r="J8" s="27">
        <f>+'Data Input'!V10</f>
        <v>2409042</v>
      </c>
      <c r="K8" s="30">
        <f>'Data Input'!U10</f>
        <v>2529201</v>
      </c>
      <c r="L8" s="58">
        <f t="shared" si="0"/>
        <v>-4.75086796185831E-2</v>
      </c>
    </row>
    <row r="9" spans="2:12" ht="15.75" customHeight="1" x14ac:dyDescent="0.3">
      <c r="B9" s="20"/>
      <c r="C9" s="21"/>
      <c r="D9" s="21"/>
      <c r="E9" s="21"/>
      <c r="F9" s="22"/>
      <c r="H9" s="127" t="s">
        <v>0</v>
      </c>
      <c r="I9" s="128"/>
      <c r="J9" s="5">
        <f>+'Data Input'!V11</f>
        <v>14978</v>
      </c>
      <c r="K9" s="5">
        <f>'Data Input'!U11</f>
        <v>36346</v>
      </c>
      <c r="L9" s="57">
        <f t="shared" si="0"/>
        <v>-0.58790513398998512</v>
      </c>
    </row>
    <row r="10" spans="2:12" ht="15.75" customHeight="1" x14ac:dyDescent="0.3">
      <c r="B10" s="20"/>
      <c r="C10" s="21"/>
      <c r="D10" s="21"/>
      <c r="E10" s="21"/>
      <c r="F10" s="22"/>
      <c r="H10" s="129" t="s">
        <v>59</v>
      </c>
      <c r="I10" s="130"/>
      <c r="J10" s="27">
        <f>+'Data Input'!V12</f>
        <v>1899276</v>
      </c>
      <c r="K10" s="30">
        <f>'Data Input'!U12</f>
        <v>2324279</v>
      </c>
      <c r="L10" s="58">
        <f t="shared" si="0"/>
        <v>-0.18285369355400105</v>
      </c>
    </row>
    <row r="11" spans="2:12" ht="15.75" customHeight="1" x14ac:dyDescent="0.3">
      <c r="B11" s="20"/>
      <c r="C11" s="21"/>
      <c r="D11" s="21"/>
      <c r="E11" s="21"/>
      <c r="F11" s="22"/>
      <c r="H11" s="127" t="s">
        <v>21</v>
      </c>
      <c r="I11" s="128"/>
      <c r="J11" s="5">
        <f>+'Data Input'!V13</f>
        <v>43874</v>
      </c>
      <c r="K11" s="6">
        <f>'Data Input'!U13</f>
        <v>58454</v>
      </c>
      <c r="L11" s="57">
        <f t="shared" si="0"/>
        <v>-0.24942689978444588</v>
      </c>
    </row>
    <row r="12" spans="2:12" ht="15.75" customHeight="1" x14ac:dyDescent="0.3">
      <c r="B12" s="20"/>
      <c r="C12" s="21"/>
      <c r="D12" s="21"/>
      <c r="E12" s="21"/>
      <c r="F12" s="22"/>
      <c r="H12" s="129" t="s">
        <v>1</v>
      </c>
      <c r="I12" s="130"/>
      <c r="J12" s="27">
        <f>+'Data Input'!V14</f>
        <v>106895</v>
      </c>
      <c r="K12" s="30">
        <f>'Data Input'!U14</f>
        <v>138867</v>
      </c>
      <c r="L12" s="58">
        <f t="shared" si="0"/>
        <v>-0.23023468498635385</v>
      </c>
    </row>
    <row r="13" spans="2:12" ht="15.75" customHeight="1" x14ac:dyDescent="0.3">
      <c r="B13" s="20"/>
      <c r="C13" s="21"/>
      <c r="D13" s="21"/>
      <c r="E13" s="21"/>
      <c r="F13" s="22"/>
      <c r="H13" s="3" t="s">
        <v>51</v>
      </c>
      <c r="I13" s="4"/>
      <c r="J13" s="5">
        <f>+'Data Input'!V15</f>
        <v>655199</v>
      </c>
      <c r="K13" s="6">
        <f>+'Data Input'!U15</f>
        <v>953195</v>
      </c>
      <c r="L13" s="57">
        <f t="shared" si="0"/>
        <v>-0.31262858072062905</v>
      </c>
    </row>
    <row r="14" spans="2:12" ht="15.75" customHeight="1" x14ac:dyDescent="0.3">
      <c r="B14" s="20"/>
      <c r="C14" s="21"/>
      <c r="D14" s="21"/>
      <c r="E14" s="21"/>
      <c r="F14" s="22"/>
      <c r="H14" s="129" t="s">
        <v>83</v>
      </c>
      <c r="I14" s="130"/>
      <c r="J14" s="1">
        <f>+'Data Input'!V16</f>
        <v>0</v>
      </c>
      <c r="K14" s="2">
        <f>'Data Input'!U16</f>
        <v>0</v>
      </c>
      <c r="L14" s="60" t="str">
        <f t="shared" si="0"/>
        <v>n/a</v>
      </c>
    </row>
    <row r="15" spans="2:12" ht="15.75" customHeight="1" x14ac:dyDescent="0.3">
      <c r="B15" s="20"/>
      <c r="C15" s="21"/>
      <c r="D15" s="21"/>
      <c r="E15" s="21"/>
      <c r="F15" s="22"/>
      <c r="H15" s="8" t="s">
        <v>41</v>
      </c>
      <c r="I15" s="5"/>
      <c r="J15" s="7">
        <f>SUM(J5:J14)</f>
        <v>13569612</v>
      </c>
      <c r="K15" s="7">
        <f>SUM(K5:K14)</f>
        <v>13663998</v>
      </c>
      <c r="L15" s="61">
        <f t="shared" si="0"/>
        <v>-6.9076415262941341E-3</v>
      </c>
    </row>
    <row r="16" spans="2:12" ht="15.75" customHeight="1" x14ac:dyDescent="0.3">
      <c r="B16" s="20"/>
      <c r="C16" s="21"/>
      <c r="D16" s="21"/>
      <c r="E16" s="21"/>
      <c r="F16" s="22"/>
      <c r="H16" s="26"/>
      <c r="I16" s="27"/>
      <c r="J16" s="27"/>
      <c r="K16" s="27"/>
      <c r="L16" s="31"/>
    </row>
    <row r="17" spans="2:12" ht="15.75" customHeight="1" x14ac:dyDescent="0.3">
      <c r="B17" s="20"/>
      <c r="C17" s="21"/>
      <c r="D17" s="21"/>
      <c r="E17" s="21"/>
      <c r="F17" s="22"/>
      <c r="H17" s="32"/>
      <c r="I17" s="21"/>
      <c r="J17" s="27"/>
      <c r="K17" s="27"/>
      <c r="L17" s="33"/>
    </row>
    <row r="18" spans="2:12" ht="15.75" customHeight="1" x14ac:dyDescent="0.3">
      <c r="B18" s="23"/>
      <c r="C18" s="24"/>
      <c r="D18" s="24"/>
      <c r="E18" s="24"/>
      <c r="F18" s="25"/>
      <c r="H18" s="34"/>
      <c r="I18" s="35"/>
      <c r="J18" s="35"/>
      <c r="K18" s="35"/>
      <c r="L18" s="36"/>
    </row>
    <row r="19" spans="2:12" ht="10.050000000000001" customHeight="1" x14ac:dyDescent="0.3"/>
    <row r="20" spans="2:12" ht="10.65" customHeight="1" x14ac:dyDescent="0.3"/>
    <row r="21" spans="2:12" ht="14.25" customHeight="1" x14ac:dyDescent="0.3">
      <c r="B21" s="51" t="s">
        <v>27</v>
      </c>
      <c r="C21" s="37"/>
      <c r="D21" s="37"/>
      <c r="E21" s="37"/>
      <c r="F21" s="38"/>
      <c r="H21" s="133" t="s">
        <v>34</v>
      </c>
      <c r="I21" s="134"/>
      <c r="J21" s="134"/>
      <c r="K21" s="15"/>
      <c r="L21" s="16"/>
    </row>
    <row r="22" spans="2:12" ht="14.25" customHeight="1" x14ac:dyDescent="0.3">
      <c r="B22" s="32"/>
      <c r="C22" s="21"/>
      <c r="D22" s="21"/>
      <c r="E22" s="21"/>
      <c r="F22" s="33"/>
      <c r="H22" s="32"/>
      <c r="I22" s="21"/>
      <c r="J22" s="131" t="s">
        <v>86</v>
      </c>
      <c r="K22" s="131"/>
      <c r="L22" s="132"/>
    </row>
    <row r="23" spans="2:12" ht="14.25" customHeight="1" x14ac:dyDescent="0.3">
      <c r="B23" s="32"/>
      <c r="C23" s="21"/>
      <c r="D23" s="21"/>
      <c r="E23" s="21"/>
      <c r="F23" s="33"/>
      <c r="H23" s="32"/>
      <c r="I23" s="21"/>
      <c r="J23" s="131"/>
      <c r="K23" s="131"/>
      <c r="L23" s="132"/>
    </row>
    <row r="24" spans="2:12" ht="14.25" customHeight="1" x14ac:dyDescent="0.3">
      <c r="B24" s="32"/>
      <c r="C24" s="21"/>
      <c r="D24" s="21"/>
      <c r="E24" s="21"/>
      <c r="F24" s="33"/>
      <c r="H24" s="32"/>
      <c r="I24" s="21"/>
      <c r="J24" s="21"/>
      <c r="K24" s="21"/>
      <c r="L24" s="33"/>
    </row>
    <row r="25" spans="2:12" ht="14.25" customHeight="1" x14ac:dyDescent="0.3">
      <c r="B25" s="32"/>
      <c r="C25" s="21"/>
      <c r="D25" s="21"/>
      <c r="E25" s="21"/>
      <c r="F25" s="33"/>
      <c r="H25" s="32"/>
      <c r="I25" s="21"/>
      <c r="J25" s="21"/>
      <c r="K25" s="21"/>
      <c r="L25" s="33"/>
    </row>
    <row r="26" spans="2:12" ht="14.25" customHeight="1" x14ac:dyDescent="0.3">
      <c r="B26" s="32"/>
      <c r="C26" s="21"/>
      <c r="D26" s="21"/>
      <c r="E26" s="21"/>
      <c r="F26" s="33"/>
      <c r="H26" s="32"/>
      <c r="I26" s="21"/>
      <c r="J26" s="21"/>
      <c r="K26" s="21"/>
      <c r="L26" s="33"/>
    </row>
    <row r="27" spans="2:12" ht="14.25" customHeight="1" x14ac:dyDescent="0.3">
      <c r="B27" s="32"/>
      <c r="C27" s="21"/>
      <c r="D27" s="21"/>
      <c r="E27" s="21"/>
      <c r="F27" s="33"/>
      <c r="H27" s="32"/>
      <c r="I27" s="21"/>
      <c r="J27" s="21"/>
      <c r="K27" s="21"/>
      <c r="L27" s="33"/>
    </row>
    <row r="28" spans="2:12" ht="14.25" customHeight="1" x14ac:dyDescent="0.3">
      <c r="B28" s="32"/>
      <c r="C28" s="21"/>
      <c r="D28" s="21"/>
      <c r="E28" s="21"/>
      <c r="F28" s="33"/>
      <c r="H28" s="32"/>
      <c r="I28" s="21"/>
      <c r="J28" s="21"/>
      <c r="K28" s="21"/>
      <c r="L28" s="33"/>
    </row>
    <row r="29" spans="2:12" ht="14.25" customHeight="1" x14ac:dyDescent="0.3">
      <c r="B29" s="32"/>
      <c r="C29" s="21"/>
      <c r="D29" s="21"/>
      <c r="E29" s="21"/>
      <c r="F29" s="33"/>
      <c r="H29" s="32"/>
      <c r="I29" s="21"/>
      <c r="J29" s="21"/>
      <c r="K29" s="21"/>
      <c r="L29" s="33"/>
    </row>
    <row r="30" spans="2:12" ht="14.25" customHeight="1" x14ac:dyDescent="0.3">
      <c r="B30" s="32"/>
      <c r="C30" s="21"/>
      <c r="D30" s="21"/>
      <c r="E30" s="21"/>
      <c r="F30" s="33"/>
      <c r="H30" s="32"/>
      <c r="I30" s="21"/>
      <c r="J30" s="21"/>
      <c r="K30" s="21"/>
      <c r="L30" s="33"/>
    </row>
    <row r="31" spans="2:12" ht="14.25" customHeight="1" x14ac:dyDescent="0.3">
      <c r="B31" s="32"/>
      <c r="C31" s="21"/>
      <c r="D31" s="21"/>
      <c r="E31" s="21"/>
      <c r="F31" s="33"/>
      <c r="H31" s="32"/>
      <c r="I31" s="21"/>
      <c r="J31" s="21"/>
      <c r="K31" s="21"/>
      <c r="L31" s="33"/>
    </row>
    <row r="32" spans="2:12" ht="14.25" customHeight="1" x14ac:dyDescent="0.3">
      <c r="B32" s="32"/>
      <c r="C32" s="21"/>
      <c r="D32" s="21"/>
      <c r="E32" s="21"/>
      <c r="F32" s="33"/>
      <c r="H32" s="32"/>
      <c r="I32" s="21"/>
      <c r="J32" s="21"/>
      <c r="K32" s="21"/>
      <c r="L32" s="33"/>
    </row>
    <row r="33" spans="2:12" ht="14.25" customHeight="1" x14ac:dyDescent="0.3">
      <c r="B33" s="32"/>
      <c r="C33" s="21"/>
      <c r="D33" s="21"/>
      <c r="E33" s="21"/>
      <c r="F33" s="33"/>
      <c r="H33" s="32"/>
      <c r="I33" s="21"/>
      <c r="J33" s="21"/>
      <c r="K33" s="21"/>
      <c r="L33" s="33"/>
    </row>
    <row r="34" spans="2:12" ht="14.25" customHeight="1" x14ac:dyDescent="0.3">
      <c r="B34" s="32"/>
      <c r="C34" s="21"/>
      <c r="D34" s="21"/>
      <c r="E34" s="21"/>
      <c r="F34" s="33"/>
      <c r="H34" s="32"/>
      <c r="I34" s="21"/>
      <c r="J34" s="21"/>
      <c r="K34" s="21"/>
      <c r="L34" s="33"/>
    </row>
    <row r="35" spans="2:12" ht="14.25" customHeight="1" x14ac:dyDescent="0.3">
      <c r="B35" s="32"/>
      <c r="C35" s="21"/>
      <c r="D35" s="21"/>
      <c r="E35" s="21"/>
      <c r="F35" s="33"/>
      <c r="H35" s="32"/>
      <c r="I35" s="21"/>
      <c r="J35" s="21"/>
      <c r="K35" s="21"/>
      <c r="L35" s="33"/>
    </row>
    <row r="36" spans="2:12" ht="14.25" customHeight="1" x14ac:dyDescent="0.3">
      <c r="B36" s="34"/>
      <c r="C36" s="35"/>
      <c r="D36" s="35"/>
      <c r="E36" s="35"/>
      <c r="F36" s="36"/>
      <c r="H36" s="34"/>
      <c r="I36" s="35"/>
      <c r="J36" s="35"/>
      <c r="K36" s="35"/>
      <c r="L36" s="36"/>
    </row>
    <row r="37" spans="2:12" ht="10.65" customHeight="1" x14ac:dyDescent="0.3"/>
    <row r="38" spans="2:12" ht="19.95" customHeight="1" x14ac:dyDescent="0.3"/>
    <row r="39" spans="2:12" ht="19.95" customHeight="1" x14ac:dyDescent="0.3"/>
    <row r="40" spans="2:12" ht="19.95" customHeight="1" x14ac:dyDescent="0.3"/>
    <row r="41" spans="2:12" ht="19.95" customHeight="1" x14ac:dyDescent="0.3"/>
    <row r="42" spans="2:12" ht="13.05" customHeight="1" x14ac:dyDescent="0.3">
      <c r="B42" s="11" t="str">
        <f>+'Data Input'!A77</f>
        <v xml:space="preserve">For more information on our unit's finances, contact Joanne McDonough at (734) 429-4907. </v>
      </c>
    </row>
  </sheetData>
  <sheetProtection formatCells="0" formatColumns="0" formatRows="0" insertColumns="0" insertRows="0" deleteColumns="0" deleteRows="0"/>
  <mergeCells count="13">
    <mergeCell ref="J22:L23"/>
    <mergeCell ref="H11:I11"/>
    <mergeCell ref="H12:I12"/>
    <mergeCell ref="H14:I14"/>
    <mergeCell ref="H3:J3"/>
    <mergeCell ref="H21:J21"/>
    <mergeCell ref="H9:I9"/>
    <mergeCell ref="H10:I10"/>
    <mergeCell ref="B3:E3"/>
    <mergeCell ref="H5:I5"/>
    <mergeCell ref="H6:I6"/>
    <mergeCell ref="H7:I7"/>
    <mergeCell ref="H8:I8"/>
  </mergeCells>
  <printOptions horizontalCentered="1"/>
  <pageMargins left="0.2" right="0.2" top="0.45" bottom="0.45" header="0.3" footer="0.3"/>
  <pageSetup scale="8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79" r:id="rId4" name="Drop Down 55">
              <controlPr defaultSize="0" autoLine="0" autoPict="0">
                <anchor moveWithCells="1">
                  <from>
                    <xdr:col>7</xdr:col>
                    <xdr:colOff>60960</xdr:colOff>
                    <xdr:row>21</xdr:row>
                    <xdr:rowOff>7620</xdr:rowOff>
                  </from>
                  <to>
                    <xdr:col>9</xdr:col>
                    <xdr:colOff>198120</xdr:colOff>
                    <xdr:row>22</xdr:row>
                    <xdr:rowOff>83820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L43"/>
  <sheetViews>
    <sheetView showGridLines="0" zoomScaleNormal="100" workbookViewId="0"/>
  </sheetViews>
  <sheetFormatPr defaultColWidth="10.44140625" defaultRowHeight="15" customHeight="1" x14ac:dyDescent="0.3"/>
  <cols>
    <col min="1" max="1" width="5.77734375" style="11" customWidth="1"/>
    <col min="2" max="4" width="12.109375" style="11" customWidth="1"/>
    <col min="5" max="5" width="16.109375" style="11" customWidth="1"/>
    <col min="6" max="6" width="12.109375" style="11" customWidth="1"/>
    <col min="7" max="7" width="10.6640625" style="11" customWidth="1"/>
    <col min="8" max="9" width="12.109375" style="11" customWidth="1"/>
    <col min="10" max="11" width="12.5546875" style="11" bestFit="1" customWidth="1"/>
    <col min="12" max="13" width="12.109375" style="11" customWidth="1"/>
    <col min="14" max="14" width="10.44140625" style="11" customWidth="1"/>
    <col min="15" max="16384" width="10.44140625" style="11"/>
  </cols>
  <sheetData>
    <row r="1" spans="2:12" ht="15.75" customHeight="1" x14ac:dyDescent="0.3">
      <c r="B1" s="9" t="str">
        <f>+'Data Input'!A1</f>
        <v>CITIZENS' GUIDE TO LOCAL UNIT FINANCES - Saline - Washtenaw</v>
      </c>
      <c r="L1" s="54" t="s">
        <v>64</v>
      </c>
    </row>
    <row r="2" spans="2:12" ht="25.65" customHeight="1" x14ac:dyDescent="0.3">
      <c r="B2" s="12"/>
      <c r="L2" s="13"/>
    </row>
    <row r="3" spans="2:12" ht="14.25" customHeight="1" x14ac:dyDescent="0.3">
      <c r="B3" s="125" t="s">
        <v>48</v>
      </c>
      <c r="C3" s="126"/>
      <c r="D3" s="126"/>
      <c r="E3" s="126"/>
      <c r="F3" s="14"/>
      <c r="H3" s="51" t="s">
        <v>62</v>
      </c>
      <c r="I3" s="37"/>
      <c r="J3" s="37"/>
      <c r="K3" s="15"/>
      <c r="L3" s="16"/>
    </row>
    <row r="4" spans="2:12" ht="16.05" customHeight="1" x14ac:dyDescent="0.3">
      <c r="B4" s="20"/>
      <c r="C4" s="21"/>
      <c r="D4" s="21"/>
      <c r="E4" s="21"/>
      <c r="F4" s="22"/>
      <c r="H4" s="32"/>
      <c r="I4" s="21"/>
      <c r="J4" s="101">
        <f>+'Data Input'!V2</f>
        <v>2020</v>
      </c>
      <c r="K4" s="101">
        <f>+'Data Input'!U2</f>
        <v>2019</v>
      </c>
      <c r="L4" s="102" t="s">
        <v>44</v>
      </c>
    </row>
    <row r="5" spans="2:12" ht="14.25" customHeight="1" x14ac:dyDescent="0.3">
      <c r="B5" s="20"/>
      <c r="C5" s="21"/>
      <c r="D5" s="21"/>
      <c r="E5" s="21"/>
      <c r="F5" s="22"/>
      <c r="H5" s="39" t="s">
        <v>43</v>
      </c>
      <c r="I5" s="40"/>
      <c r="J5" s="41">
        <f>+'Data Input'!V19</f>
        <v>4097772</v>
      </c>
      <c r="K5" s="41">
        <f>+'Data Input'!U19</f>
        <v>4325709</v>
      </c>
      <c r="L5" s="62">
        <f t="shared" ref="L5:L15" si="0">IF(K5=0,"n/a",(J5-K5)/K5)</f>
        <v>-5.2693558443251728E-2</v>
      </c>
    </row>
    <row r="6" spans="2:12" ht="14.25" customHeight="1" x14ac:dyDescent="0.3">
      <c r="B6" s="20"/>
      <c r="C6" s="21"/>
      <c r="D6" s="21"/>
      <c r="E6" s="21"/>
      <c r="F6" s="22"/>
      <c r="H6" s="44" t="s">
        <v>61</v>
      </c>
      <c r="I6" s="45"/>
      <c r="J6" s="21">
        <f>+'Data Input'!V20</f>
        <v>2739670</v>
      </c>
      <c r="K6" s="21">
        <f>+'Data Input'!U20</f>
        <v>2394982</v>
      </c>
      <c r="L6" s="63">
        <f t="shared" si="0"/>
        <v>0.14392091464570506</v>
      </c>
    </row>
    <row r="7" spans="2:12" ht="14.25" customHeight="1" x14ac:dyDescent="0.3">
      <c r="B7" s="20"/>
      <c r="C7" s="21"/>
      <c r="D7" s="21"/>
      <c r="E7" s="21"/>
      <c r="F7" s="22"/>
      <c r="H7" s="39" t="s">
        <v>36</v>
      </c>
      <c r="I7" s="40"/>
      <c r="J7" s="11">
        <f>+'Data Input'!V21</f>
        <v>339135</v>
      </c>
      <c r="K7" s="11">
        <f>+'Data Input'!U21</f>
        <v>283358</v>
      </c>
      <c r="L7" s="62">
        <f t="shared" si="0"/>
        <v>0.19684286309191906</v>
      </c>
    </row>
    <row r="8" spans="2:12" ht="14.25" customHeight="1" x14ac:dyDescent="0.3">
      <c r="B8" s="20"/>
      <c r="C8" s="21"/>
      <c r="D8" s="21"/>
      <c r="E8" s="21"/>
      <c r="F8" s="22"/>
      <c r="H8" s="44" t="s">
        <v>81</v>
      </c>
      <c r="I8" s="45"/>
      <c r="J8" s="21">
        <f>+'Data Input'!V22</f>
        <v>285839</v>
      </c>
      <c r="K8" s="21">
        <f>+'Data Input'!U22</f>
        <v>439008</v>
      </c>
      <c r="L8" s="63">
        <f t="shared" si="0"/>
        <v>-0.34889796996865663</v>
      </c>
    </row>
    <row r="9" spans="2:12" ht="14.25" customHeight="1" x14ac:dyDescent="0.3">
      <c r="B9" s="20"/>
      <c r="C9" s="21"/>
      <c r="D9" s="21"/>
      <c r="E9" s="21"/>
      <c r="F9" s="22"/>
      <c r="H9" s="39" t="s">
        <v>66</v>
      </c>
      <c r="I9" s="40"/>
      <c r="J9" s="11">
        <f>+'Data Input'!V23</f>
        <v>1655970</v>
      </c>
      <c r="K9" s="11">
        <f>+'Data Input'!U23</f>
        <v>1529031</v>
      </c>
      <c r="L9" s="62">
        <f t="shared" si="0"/>
        <v>8.301924552216404E-2</v>
      </c>
    </row>
    <row r="10" spans="2:12" ht="14.25" customHeight="1" x14ac:dyDescent="0.3">
      <c r="B10" s="20"/>
      <c r="C10" s="21"/>
      <c r="D10" s="21"/>
      <c r="E10" s="21"/>
      <c r="F10" s="22"/>
      <c r="H10" s="44" t="s">
        <v>33</v>
      </c>
      <c r="I10" s="45"/>
      <c r="J10" s="21">
        <f>+'Data Input'!V24</f>
        <v>53829</v>
      </c>
      <c r="K10" s="21">
        <f>+'Data Input'!U24</f>
        <v>49395</v>
      </c>
      <c r="L10" s="63">
        <f t="shared" si="0"/>
        <v>8.9766170665047065E-2</v>
      </c>
    </row>
    <row r="11" spans="2:12" ht="14.25" customHeight="1" x14ac:dyDescent="0.3">
      <c r="B11" s="20"/>
      <c r="C11" s="21"/>
      <c r="D11" s="21"/>
      <c r="E11" s="21"/>
      <c r="F11" s="22"/>
      <c r="H11" s="39" t="s">
        <v>30</v>
      </c>
      <c r="I11" s="68"/>
      <c r="J11" s="11">
        <f>+'Data Input'!V26</f>
        <v>1636913</v>
      </c>
      <c r="K11" s="11">
        <f>+'Data Input'!U26</f>
        <v>1786700</v>
      </c>
      <c r="L11" s="62">
        <f t="shared" si="0"/>
        <v>-8.383444338725024E-2</v>
      </c>
    </row>
    <row r="12" spans="2:12" ht="14.25" customHeight="1" x14ac:dyDescent="0.3">
      <c r="B12" s="20"/>
      <c r="C12" s="21"/>
      <c r="D12" s="21"/>
      <c r="E12" s="21"/>
      <c r="F12" s="22"/>
      <c r="H12" s="44" t="s">
        <v>28</v>
      </c>
      <c r="I12" s="45"/>
      <c r="J12" s="21">
        <f>+'Data Input'!V27</f>
        <v>654568</v>
      </c>
      <c r="K12" s="21">
        <f>+'Data Input'!U27</f>
        <v>1358950</v>
      </c>
      <c r="L12" s="63">
        <f t="shared" si="0"/>
        <v>-0.51832812097575331</v>
      </c>
    </row>
    <row r="13" spans="2:12" ht="14.25" customHeight="1" x14ac:dyDescent="0.3">
      <c r="B13" s="20"/>
      <c r="C13" s="21"/>
      <c r="D13" s="21"/>
      <c r="E13" s="21"/>
      <c r="F13" s="22"/>
      <c r="H13" s="39" t="s">
        <v>26</v>
      </c>
      <c r="I13" s="68"/>
      <c r="J13" s="11">
        <f>+'Data Input'!V28</f>
        <v>1106910</v>
      </c>
      <c r="K13" s="11">
        <f>+'Data Input'!U28</f>
        <v>1110662</v>
      </c>
      <c r="L13" s="62">
        <f t="shared" si="0"/>
        <v>-3.3781654544766996E-3</v>
      </c>
    </row>
    <row r="14" spans="2:12" ht="14.25" customHeight="1" x14ac:dyDescent="0.3">
      <c r="B14" s="20"/>
      <c r="C14" s="21"/>
      <c r="D14" s="21"/>
      <c r="E14" s="21"/>
      <c r="F14" s="22"/>
      <c r="H14" s="46" t="s">
        <v>8</v>
      </c>
      <c r="I14" s="21"/>
      <c r="J14" s="21">
        <f>+'Data Input'!V31</f>
        <v>0</v>
      </c>
      <c r="K14" s="21">
        <f>+'Data Input'!U31</f>
        <v>0</v>
      </c>
      <c r="L14" s="64" t="str">
        <f t="shared" si="0"/>
        <v>n/a</v>
      </c>
    </row>
    <row r="15" spans="2:12" ht="14.25" customHeight="1" x14ac:dyDescent="0.3">
      <c r="B15" s="20"/>
      <c r="C15" s="21"/>
      <c r="D15" s="21"/>
      <c r="E15" s="21"/>
      <c r="F15" s="22"/>
      <c r="H15" s="39" t="s">
        <v>9</v>
      </c>
      <c r="I15" s="40"/>
      <c r="J15" s="42">
        <f>SUM(J5:J14)</f>
        <v>12570606</v>
      </c>
      <c r="K15" s="42">
        <f>SUM(K5:K14)</f>
        <v>13277795</v>
      </c>
      <c r="L15" s="65">
        <f t="shared" si="0"/>
        <v>-5.3261027150968969E-2</v>
      </c>
    </row>
    <row r="16" spans="2:12" ht="14.25" customHeight="1" x14ac:dyDescent="0.3">
      <c r="B16" s="20"/>
      <c r="C16" s="21"/>
      <c r="D16" s="21"/>
      <c r="E16" s="21"/>
      <c r="F16" s="22"/>
      <c r="H16" s="44"/>
      <c r="I16" s="45"/>
      <c r="J16" s="100"/>
      <c r="K16" s="100"/>
      <c r="L16" s="63"/>
    </row>
    <row r="17" spans="2:12" ht="14.25" customHeight="1" x14ac:dyDescent="0.3">
      <c r="B17" s="20"/>
      <c r="C17" s="21"/>
      <c r="D17" s="21"/>
      <c r="E17" s="21"/>
      <c r="F17" s="22"/>
      <c r="H17" s="44"/>
      <c r="I17" s="45"/>
      <c r="J17" s="100"/>
      <c r="K17" s="100"/>
      <c r="L17" s="63"/>
    </row>
    <row r="18" spans="2:12" ht="14.25" customHeight="1" x14ac:dyDescent="0.3">
      <c r="B18" s="23"/>
      <c r="C18" s="24"/>
      <c r="D18" s="24"/>
      <c r="E18" s="24"/>
      <c r="F18" s="25"/>
      <c r="H18" s="34"/>
      <c r="I18" s="35"/>
      <c r="J18" s="35"/>
      <c r="K18" s="35"/>
      <c r="L18" s="36"/>
    </row>
    <row r="19" spans="2:12" ht="14.25" customHeight="1" x14ac:dyDescent="0.3"/>
    <row r="20" spans="2:12" ht="10.65" customHeight="1" x14ac:dyDescent="0.3"/>
    <row r="21" spans="2:12" ht="14.25" customHeight="1" x14ac:dyDescent="0.3">
      <c r="B21" s="51" t="s">
        <v>80</v>
      </c>
      <c r="C21" s="37"/>
      <c r="D21" s="37"/>
      <c r="E21" s="37"/>
      <c r="F21" s="15"/>
      <c r="H21" s="133" t="s">
        <v>39</v>
      </c>
      <c r="I21" s="134"/>
      <c r="J21" s="134"/>
      <c r="K21" s="134"/>
      <c r="L21" s="15"/>
    </row>
    <row r="22" spans="2:12" ht="14.25" customHeight="1" x14ac:dyDescent="0.3">
      <c r="B22" s="32"/>
      <c r="C22" s="21"/>
      <c r="D22" s="21"/>
      <c r="E22" s="21"/>
      <c r="F22" s="33"/>
      <c r="H22" s="32"/>
      <c r="I22" s="21"/>
      <c r="J22" s="21"/>
      <c r="K22" s="135" t="s">
        <v>87</v>
      </c>
      <c r="L22" s="136"/>
    </row>
    <row r="23" spans="2:12" ht="14.25" customHeight="1" x14ac:dyDescent="0.3">
      <c r="B23" s="32"/>
      <c r="C23" s="21"/>
      <c r="D23" s="21"/>
      <c r="E23" s="21"/>
      <c r="F23" s="33"/>
      <c r="H23" s="32"/>
      <c r="I23" s="21"/>
      <c r="J23" s="21"/>
      <c r="K23" s="21"/>
      <c r="L23" s="33"/>
    </row>
    <row r="24" spans="2:12" ht="14.25" customHeight="1" x14ac:dyDescent="0.3">
      <c r="B24" s="32"/>
      <c r="C24" s="21"/>
      <c r="D24" s="21"/>
      <c r="E24" s="21"/>
      <c r="F24" s="33"/>
      <c r="H24" s="32"/>
      <c r="I24" s="21"/>
      <c r="J24" s="21"/>
      <c r="K24" s="21"/>
      <c r="L24" s="33"/>
    </row>
    <row r="25" spans="2:12" ht="14.25" customHeight="1" x14ac:dyDescent="0.3">
      <c r="B25" s="32"/>
      <c r="C25" s="21"/>
      <c r="D25" s="21"/>
      <c r="E25" s="21"/>
      <c r="F25" s="33"/>
      <c r="H25" s="32"/>
      <c r="I25" s="21"/>
      <c r="J25" s="21"/>
      <c r="K25" s="21"/>
      <c r="L25" s="33"/>
    </row>
    <row r="26" spans="2:12" ht="14.25" customHeight="1" x14ac:dyDescent="0.3">
      <c r="B26" s="32"/>
      <c r="C26" s="21"/>
      <c r="D26" s="21"/>
      <c r="E26" s="21"/>
      <c r="F26" s="33"/>
      <c r="H26" s="32"/>
      <c r="I26" s="21"/>
      <c r="J26" s="21"/>
      <c r="K26" s="21"/>
      <c r="L26" s="33"/>
    </row>
    <row r="27" spans="2:12" ht="14.25" customHeight="1" x14ac:dyDescent="0.3">
      <c r="B27" s="32"/>
      <c r="C27" s="21"/>
      <c r="D27" s="21"/>
      <c r="E27" s="21"/>
      <c r="F27" s="33"/>
      <c r="H27" s="32"/>
      <c r="I27" s="21"/>
      <c r="J27" s="21"/>
      <c r="K27" s="21"/>
      <c r="L27" s="33"/>
    </row>
    <row r="28" spans="2:12" ht="14.25" customHeight="1" x14ac:dyDescent="0.3">
      <c r="B28" s="32"/>
      <c r="C28" s="21"/>
      <c r="D28" s="21"/>
      <c r="E28" s="21"/>
      <c r="F28" s="33"/>
      <c r="H28" s="32"/>
      <c r="I28" s="21"/>
      <c r="J28" s="21"/>
      <c r="K28" s="21"/>
      <c r="L28" s="33"/>
    </row>
    <row r="29" spans="2:12" ht="14.25" customHeight="1" x14ac:dyDescent="0.3">
      <c r="B29" s="32"/>
      <c r="C29" s="21"/>
      <c r="D29" s="21"/>
      <c r="E29" s="21"/>
      <c r="F29" s="33"/>
      <c r="H29" s="32"/>
      <c r="I29" s="21"/>
      <c r="J29" s="21"/>
      <c r="K29" s="21"/>
      <c r="L29" s="33"/>
    </row>
    <row r="30" spans="2:12" ht="14.25" customHeight="1" x14ac:dyDescent="0.3">
      <c r="B30" s="32"/>
      <c r="C30" s="21"/>
      <c r="D30" s="21"/>
      <c r="E30" s="21"/>
      <c r="F30" s="33"/>
      <c r="H30" s="32"/>
      <c r="I30" s="21"/>
      <c r="J30" s="21"/>
      <c r="K30" s="21"/>
      <c r="L30" s="33"/>
    </row>
    <row r="31" spans="2:12" ht="14.25" customHeight="1" x14ac:dyDescent="0.3">
      <c r="B31" s="32"/>
      <c r="C31" s="21"/>
      <c r="D31" s="21"/>
      <c r="E31" s="21"/>
      <c r="F31" s="33"/>
      <c r="H31" s="32"/>
      <c r="I31" s="21"/>
      <c r="J31" s="21"/>
      <c r="K31" s="21"/>
      <c r="L31" s="33"/>
    </row>
    <row r="32" spans="2:12" ht="14.25" customHeight="1" x14ac:dyDescent="0.3">
      <c r="B32" s="32"/>
      <c r="C32" s="21"/>
      <c r="D32" s="21"/>
      <c r="E32" s="21"/>
      <c r="F32" s="33"/>
      <c r="H32" s="32"/>
      <c r="I32" s="21"/>
      <c r="J32" s="21"/>
      <c r="K32" s="21"/>
      <c r="L32" s="33"/>
    </row>
    <row r="33" spans="2:12" ht="14.25" customHeight="1" x14ac:dyDescent="0.3">
      <c r="B33" s="32"/>
      <c r="C33" s="21"/>
      <c r="D33" s="21"/>
      <c r="E33" s="21"/>
      <c r="F33" s="33"/>
      <c r="H33" s="32"/>
      <c r="I33" s="21"/>
      <c r="J33" s="21"/>
      <c r="K33" s="21"/>
      <c r="L33" s="33"/>
    </row>
    <row r="34" spans="2:12" ht="14.25" customHeight="1" x14ac:dyDescent="0.3">
      <c r="B34" s="32"/>
      <c r="C34" s="21"/>
      <c r="D34" s="21"/>
      <c r="E34" s="21"/>
      <c r="F34" s="33"/>
      <c r="H34" s="32"/>
      <c r="I34" s="21"/>
      <c r="J34" s="21"/>
      <c r="K34" s="21"/>
      <c r="L34" s="33"/>
    </row>
    <row r="35" spans="2:12" ht="14.25" customHeight="1" x14ac:dyDescent="0.3">
      <c r="B35" s="34"/>
      <c r="C35" s="35"/>
      <c r="D35" s="35"/>
      <c r="E35" s="35"/>
      <c r="F35" s="36"/>
      <c r="H35" s="34"/>
      <c r="I35" s="35"/>
      <c r="J35" s="35"/>
      <c r="K35" s="35"/>
      <c r="L35" s="36"/>
    </row>
    <row r="36" spans="2:12" ht="10.65" customHeight="1" x14ac:dyDescent="0.3"/>
    <row r="37" spans="2:12" ht="14.25" customHeight="1" x14ac:dyDescent="0.3"/>
    <row r="38" spans="2:12" ht="14.25" customHeight="1" x14ac:dyDescent="0.3"/>
    <row r="39" spans="2:12" ht="14.25" customHeight="1" x14ac:dyDescent="0.3"/>
    <row r="40" spans="2:12" ht="14.25" customHeight="1" x14ac:dyDescent="0.3"/>
    <row r="41" spans="2:12" ht="14.25" customHeight="1" x14ac:dyDescent="0.3"/>
    <row r="42" spans="2:12" ht="14.25" customHeight="1" x14ac:dyDescent="0.3">
      <c r="B42" s="11" t="str">
        <f>+'Data Input'!A77</f>
        <v xml:space="preserve">For more information on our unit's finances, contact Joanne McDonough at (734) 429-4907. </v>
      </c>
    </row>
    <row r="43" spans="2:12" ht="14.25" customHeight="1" x14ac:dyDescent="0.3"/>
  </sheetData>
  <sheetProtection formatCells="0" formatColumns="0" formatRows="0" insertColumns="0" insertRows="0" deleteColumns="0" deleteRows="0"/>
  <mergeCells count="3">
    <mergeCell ref="B3:E3"/>
    <mergeCell ref="H21:K21"/>
    <mergeCell ref="K22:L22"/>
  </mergeCells>
  <printOptions horizontalCentered="1"/>
  <pageMargins left="0.2" right="0.2" top="0.5" bottom="0.5" header="0.3" footer="0.3"/>
  <pageSetup scale="9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100" r:id="rId4" name="Drop Down 52">
              <controlPr defaultSize="0" autoLine="0" autoPict="0">
                <anchor moveWithCells="1">
                  <from>
                    <xdr:col>7</xdr:col>
                    <xdr:colOff>121920</xdr:colOff>
                    <xdr:row>21</xdr:row>
                    <xdr:rowOff>22860</xdr:rowOff>
                  </from>
                  <to>
                    <xdr:col>9</xdr:col>
                    <xdr:colOff>701040</xdr:colOff>
                    <xdr:row>22</xdr:row>
                    <xdr:rowOff>22860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L42"/>
  <sheetViews>
    <sheetView showGridLines="0" zoomScaleNormal="100" workbookViewId="0"/>
  </sheetViews>
  <sheetFormatPr defaultColWidth="11.6640625" defaultRowHeight="15" customHeight="1" x14ac:dyDescent="0.3"/>
  <cols>
    <col min="1" max="1" width="5.77734375" style="11" customWidth="1"/>
    <col min="2" max="6" width="12" style="11" customWidth="1"/>
    <col min="7" max="7" width="8.6640625" style="11" customWidth="1"/>
    <col min="8" max="9" width="12" style="11" customWidth="1"/>
    <col min="10" max="11" width="12.6640625" style="11" customWidth="1"/>
    <col min="12" max="12" width="12" style="11" customWidth="1"/>
    <col min="13" max="13" width="11.6640625" style="11" customWidth="1"/>
    <col min="14" max="16384" width="11.6640625" style="11"/>
  </cols>
  <sheetData>
    <row r="1" spans="2:12" ht="15.75" customHeight="1" x14ac:dyDescent="0.3">
      <c r="B1" s="9" t="str">
        <f>+'Data Input'!A1</f>
        <v>CITIZENS' GUIDE TO LOCAL UNIT FINANCES - Saline - Washtenaw</v>
      </c>
      <c r="L1" s="54" t="s">
        <v>78</v>
      </c>
    </row>
    <row r="2" spans="2:12" ht="19.95" customHeight="1" x14ac:dyDescent="0.3">
      <c r="B2" s="12"/>
      <c r="J2" s="13"/>
    </row>
    <row r="3" spans="2:12" ht="15" customHeight="1" x14ac:dyDescent="0.3">
      <c r="B3" s="138" t="s">
        <v>7</v>
      </c>
      <c r="C3" s="139"/>
      <c r="D3" s="139"/>
      <c r="E3" s="139"/>
      <c r="F3" s="140"/>
      <c r="H3" s="133" t="s">
        <v>62</v>
      </c>
      <c r="I3" s="134"/>
      <c r="J3" s="134"/>
      <c r="K3" s="15"/>
      <c r="L3" s="16"/>
    </row>
    <row r="4" spans="2:12" ht="17.25" customHeight="1" x14ac:dyDescent="0.3">
      <c r="B4" s="32"/>
      <c r="C4" s="21"/>
      <c r="D4" s="21"/>
      <c r="E4" s="21"/>
      <c r="F4" s="33"/>
      <c r="H4" s="32"/>
      <c r="I4" s="21"/>
      <c r="J4" s="43">
        <f>+'Data Input'!V2</f>
        <v>2020</v>
      </c>
      <c r="K4" s="43">
        <f>+'Data Input'!U2</f>
        <v>2019</v>
      </c>
      <c r="L4" s="52" t="s">
        <v>44</v>
      </c>
    </row>
    <row r="5" spans="2:12" ht="15" customHeight="1" x14ac:dyDescent="0.3">
      <c r="B5" s="32"/>
      <c r="C5" s="21"/>
      <c r="D5" s="21"/>
      <c r="E5" s="21"/>
      <c r="F5" s="33"/>
      <c r="H5" s="141" t="s">
        <v>74</v>
      </c>
      <c r="I5" s="142"/>
      <c r="J5" s="11">
        <f>+'Data Input'!V17</f>
        <v>13569612</v>
      </c>
      <c r="K5" s="11">
        <f>+'Data Input'!U17</f>
        <v>13663998</v>
      </c>
      <c r="L5" s="66">
        <f>IF(K5=0,n/a,(J5-K5)/K5)</f>
        <v>-6.9076415262941341E-3</v>
      </c>
    </row>
    <row r="6" spans="2:12" ht="15" customHeight="1" x14ac:dyDescent="0.3">
      <c r="B6" s="32"/>
      <c r="C6" s="21"/>
      <c r="D6" s="21"/>
      <c r="E6" s="21"/>
      <c r="F6" s="33"/>
      <c r="H6" s="141" t="s">
        <v>15</v>
      </c>
      <c r="I6" s="142"/>
      <c r="J6" s="47">
        <f>+'Data Input'!V32</f>
        <v>12570606</v>
      </c>
      <c r="K6" s="11">
        <f>+'Data Input'!U32</f>
        <v>13277795</v>
      </c>
      <c r="L6" s="66">
        <f>IF(K6=0,n/a,(J6-K6)/K6)</f>
        <v>-5.3261027150968969E-2</v>
      </c>
    </row>
    <row r="7" spans="2:12" ht="15.75" customHeight="1" thickBot="1" x14ac:dyDescent="0.35">
      <c r="B7" s="32"/>
      <c r="C7" s="21"/>
      <c r="D7" s="21"/>
      <c r="E7" s="21"/>
      <c r="F7" s="33"/>
      <c r="H7" s="141" t="s">
        <v>63</v>
      </c>
      <c r="I7" s="142"/>
      <c r="J7" s="48">
        <f>+'Data Input'!V33</f>
        <v>999006</v>
      </c>
      <c r="K7" s="49">
        <f>+'Data Input'!U33</f>
        <v>386203</v>
      </c>
      <c r="L7" s="67">
        <f>IF(K7=0,n/a,(J7-K7)/K7)</f>
        <v>1.5867380626250962</v>
      </c>
    </row>
    <row r="8" spans="2:12" ht="15.75" customHeight="1" thickTop="1" x14ac:dyDescent="0.3">
      <c r="B8" s="32"/>
      <c r="C8" s="21"/>
      <c r="D8" s="21"/>
      <c r="E8" s="21"/>
      <c r="F8" s="33"/>
      <c r="H8" s="141" t="s">
        <v>12</v>
      </c>
      <c r="I8" s="142"/>
      <c r="J8" s="142"/>
      <c r="L8" s="66"/>
    </row>
    <row r="9" spans="2:12" ht="15" customHeight="1" x14ac:dyDescent="0.3">
      <c r="B9" s="32"/>
      <c r="C9" s="21"/>
      <c r="D9" s="21"/>
      <c r="E9" s="21"/>
      <c r="F9" s="33"/>
      <c r="H9" s="141" t="s">
        <v>98</v>
      </c>
      <c r="I9" s="142"/>
      <c r="J9" s="11">
        <f>+'Data Input'!V38</f>
        <v>3462526</v>
      </c>
      <c r="K9" s="11">
        <f>+'Data Input'!U38</f>
        <v>2595673</v>
      </c>
      <c r="L9" s="66">
        <f>IF(K9=0,n/a,(J9-K9)/K9)</f>
        <v>0.33396078781880462</v>
      </c>
    </row>
    <row r="10" spans="2:12" ht="15" customHeight="1" x14ac:dyDescent="0.3">
      <c r="B10" s="32"/>
      <c r="C10" s="21"/>
      <c r="D10" s="21"/>
      <c r="E10" s="21"/>
      <c r="F10" s="33"/>
      <c r="H10" s="141" t="s">
        <v>96</v>
      </c>
      <c r="I10" s="142"/>
      <c r="J10" s="11">
        <f>+'Data Input'!V37</f>
        <v>4260035</v>
      </c>
      <c r="K10" s="11">
        <f>+'Data Input'!U37</f>
        <v>3976666</v>
      </c>
      <c r="L10" s="66">
        <f>IF(K10=0,n/a,(J10-K10)/K10)</f>
        <v>7.1257933153048306E-2</v>
      </c>
    </row>
    <row r="11" spans="2:12" ht="15" customHeight="1" x14ac:dyDescent="0.3">
      <c r="B11" s="32"/>
      <c r="C11" s="21"/>
      <c r="D11" s="21"/>
      <c r="E11" s="21"/>
      <c r="F11" s="33"/>
      <c r="H11" s="141" t="s">
        <v>97</v>
      </c>
      <c r="I11" s="142"/>
      <c r="J11" s="47">
        <f>+'Data Input'!V36</f>
        <v>1727437</v>
      </c>
      <c r="K11" s="11">
        <f>+'Data Input'!U36</f>
        <v>1937565</v>
      </c>
      <c r="L11" s="66">
        <f>IF(K11=0,n/a,(J11-K11)/K11)</f>
        <v>-0.10844952298374506</v>
      </c>
    </row>
    <row r="12" spans="2:12" ht="15.75" customHeight="1" thickBot="1" x14ac:dyDescent="0.35">
      <c r="B12" s="32"/>
      <c r="C12" s="21"/>
      <c r="D12" s="21"/>
      <c r="E12" s="21"/>
      <c r="F12" s="33"/>
      <c r="H12" s="141" t="s">
        <v>32</v>
      </c>
      <c r="I12" s="142"/>
      <c r="J12" s="48">
        <f>SUM(J9:J11)</f>
        <v>9449998</v>
      </c>
      <c r="K12" s="49">
        <f>SUM(K9:K11)</f>
        <v>8509904</v>
      </c>
      <c r="L12" s="67">
        <f>IF(K12=0,n/a,(J12-K12)/K12)</f>
        <v>0.11047057640133191</v>
      </c>
    </row>
    <row r="13" spans="2:12" ht="15.75" customHeight="1" thickTop="1" x14ac:dyDescent="0.3">
      <c r="B13" s="32"/>
      <c r="C13" s="21"/>
      <c r="D13" s="21"/>
      <c r="E13" s="21"/>
      <c r="F13" s="33"/>
      <c r="H13" s="17"/>
      <c r="L13" s="18"/>
    </row>
    <row r="14" spans="2:12" ht="15" customHeight="1" x14ac:dyDescent="0.3">
      <c r="B14" s="32"/>
      <c r="C14" s="21"/>
      <c r="D14" s="21"/>
      <c r="E14" s="21"/>
      <c r="F14" s="33"/>
      <c r="H14" s="17"/>
      <c r="L14" s="18"/>
    </row>
    <row r="15" spans="2:12" ht="15" customHeight="1" x14ac:dyDescent="0.3">
      <c r="B15" s="32"/>
      <c r="C15" s="21"/>
      <c r="D15" s="21"/>
      <c r="E15" s="21"/>
      <c r="F15" s="33"/>
      <c r="H15" s="17"/>
      <c r="L15" s="18"/>
    </row>
    <row r="16" spans="2:12" ht="15" customHeight="1" x14ac:dyDescent="0.3">
      <c r="B16" s="32"/>
      <c r="C16" s="21"/>
      <c r="D16" s="21"/>
      <c r="E16" s="21"/>
      <c r="F16" s="33"/>
      <c r="H16" s="17"/>
      <c r="L16" s="18"/>
    </row>
    <row r="17" spans="2:12" ht="15" customHeight="1" x14ac:dyDescent="0.3">
      <c r="B17" s="32"/>
      <c r="C17" s="21"/>
      <c r="D17" s="21"/>
      <c r="E17" s="21"/>
      <c r="F17" s="33"/>
      <c r="H17" s="17"/>
      <c r="L17" s="18"/>
    </row>
    <row r="18" spans="2:12" ht="15" customHeight="1" x14ac:dyDescent="0.3">
      <c r="B18" s="34"/>
      <c r="C18" s="35"/>
      <c r="D18" s="35"/>
      <c r="E18" s="35"/>
      <c r="F18" s="36"/>
      <c r="H18" s="15"/>
      <c r="I18" s="16"/>
      <c r="J18" s="16"/>
      <c r="K18" s="16"/>
      <c r="L18" s="19"/>
    </row>
    <row r="19" spans="2:12" ht="10.050000000000001" customHeight="1" x14ac:dyDescent="0.3"/>
    <row r="20" spans="2:12" ht="10.65" customHeight="1" x14ac:dyDescent="0.3"/>
    <row r="21" spans="2:12" ht="14.25" customHeight="1" x14ac:dyDescent="0.3">
      <c r="B21" s="133" t="s">
        <v>53</v>
      </c>
      <c r="C21" s="134"/>
      <c r="D21" s="134"/>
      <c r="E21" s="134"/>
      <c r="F21" s="137"/>
      <c r="H21" s="133" t="s">
        <v>58</v>
      </c>
      <c r="I21" s="134"/>
      <c r="J21" s="134"/>
      <c r="K21" s="134"/>
      <c r="L21" s="15"/>
    </row>
    <row r="22" spans="2:12" ht="14.25" customHeight="1" x14ac:dyDescent="0.3">
      <c r="B22" s="32"/>
      <c r="C22" s="21"/>
      <c r="D22" s="21"/>
      <c r="E22" s="21"/>
      <c r="F22" s="53"/>
      <c r="H22" s="32"/>
      <c r="I22" s="21"/>
      <c r="J22" s="21"/>
      <c r="K22" s="21"/>
      <c r="L22" s="33"/>
    </row>
    <row r="23" spans="2:12" ht="14.25" customHeight="1" x14ac:dyDescent="0.3">
      <c r="B23" s="32"/>
      <c r="C23" s="21"/>
      <c r="D23" s="21"/>
      <c r="E23" s="21"/>
      <c r="F23" s="33"/>
      <c r="H23" s="32"/>
      <c r="I23" s="21"/>
      <c r="J23" s="21"/>
      <c r="K23" s="21"/>
      <c r="L23" s="33"/>
    </row>
    <row r="24" spans="2:12" ht="14.25" customHeight="1" x14ac:dyDescent="0.3">
      <c r="B24" s="32"/>
      <c r="C24" s="21"/>
      <c r="D24" s="21"/>
      <c r="E24" s="21"/>
      <c r="F24" s="33"/>
      <c r="H24" s="32"/>
      <c r="I24" s="21"/>
      <c r="J24" s="21"/>
      <c r="K24" s="21"/>
      <c r="L24" s="33"/>
    </row>
    <row r="25" spans="2:12" ht="14.25" customHeight="1" x14ac:dyDescent="0.3">
      <c r="B25" s="32"/>
      <c r="C25" s="21"/>
      <c r="D25" s="21"/>
      <c r="E25" s="21"/>
      <c r="F25" s="33"/>
      <c r="H25" s="32"/>
      <c r="I25" s="21"/>
      <c r="J25" s="21"/>
      <c r="K25" s="21"/>
      <c r="L25" s="33"/>
    </row>
    <row r="26" spans="2:12" ht="14.25" customHeight="1" x14ac:dyDescent="0.3">
      <c r="B26" s="32"/>
      <c r="C26" s="21"/>
      <c r="D26" s="21"/>
      <c r="E26" s="21"/>
      <c r="F26" s="33"/>
      <c r="H26" s="32"/>
      <c r="I26" s="21"/>
      <c r="J26" s="21"/>
      <c r="K26" s="21"/>
      <c r="L26" s="33"/>
    </row>
    <row r="27" spans="2:12" ht="14.25" customHeight="1" x14ac:dyDescent="0.3">
      <c r="B27" s="32"/>
      <c r="C27" s="21"/>
      <c r="D27" s="21"/>
      <c r="E27" s="21"/>
      <c r="F27" s="33"/>
      <c r="H27" s="32"/>
      <c r="I27" s="21"/>
      <c r="J27" s="21"/>
      <c r="K27" s="21"/>
      <c r="L27" s="33"/>
    </row>
    <row r="28" spans="2:12" ht="14.25" customHeight="1" x14ac:dyDescent="0.3">
      <c r="B28" s="32"/>
      <c r="C28" s="21"/>
      <c r="D28" s="21"/>
      <c r="E28" s="21"/>
      <c r="F28" s="33"/>
      <c r="H28" s="32"/>
      <c r="I28" s="21"/>
      <c r="J28" s="21"/>
      <c r="K28" s="21"/>
      <c r="L28" s="33"/>
    </row>
    <row r="29" spans="2:12" ht="14.25" customHeight="1" x14ac:dyDescent="0.3">
      <c r="B29" s="32"/>
      <c r="C29" s="21"/>
      <c r="D29" s="21"/>
      <c r="E29" s="21"/>
      <c r="F29" s="33"/>
      <c r="H29" s="32"/>
      <c r="I29" s="21"/>
      <c r="J29" s="21"/>
      <c r="K29" s="21"/>
      <c r="L29" s="33"/>
    </row>
    <row r="30" spans="2:12" ht="14.25" customHeight="1" x14ac:dyDescent="0.3">
      <c r="B30" s="32"/>
      <c r="C30" s="21"/>
      <c r="D30" s="21"/>
      <c r="E30" s="21"/>
      <c r="F30" s="33"/>
      <c r="H30" s="32"/>
      <c r="I30" s="21"/>
      <c r="J30" s="21"/>
      <c r="K30" s="21"/>
      <c r="L30" s="33"/>
    </row>
    <row r="31" spans="2:12" ht="14.25" customHeight="1" x14ac:dyDescent="0.3">
      <c r="B31" s="32"/>
      <c r="C31" s="21"/>
      <c r="D31" s="21"/>
      <c r="E31" s="21"/>
      <c r="F31" s="33"/>
      <c r="H31" s="32"/>
      <c r="I31" s="21"/>
      <c r="J31" s="21"/>
      <c r="K31" s="21"/>
      <c r="L31" s="33"/>
    </row>
    <row r="32" spans="2:12" ht="14.25" customHeight="1" x14ac:dyDescent="0.3">
      <c r="B32" s="32"/>
      <c r="C32" s="21"/>
      <c r="D32" s="21"/>
      <c r="E32" s="21"/>
      <c r="F32" s="33"/>
      <c r="H32" s="32"/>
      <c r="I32" s="21"/>
      <c r="J32" s="21"/>
      <c r="K32" s="21"/>
      <c r="L32" s="33"/>
    </row>
    <row r="33" spans="2:12" ht="14.25" customHeight="1" x14ac:dyDescent="0.3">
      <c r="B33" s="32"/>
      <c r="C33" s="21"/>
      <c r="D33" s="21"/>
      <c r="E33" s="21"/>
      <c r="F33" s="33"/>
      <c r="H33" s="32"/>
      <c r="I33" s="21"/>
      <c r="J33" s="21"/>
      <c r="K33" s="21"/>
      <c r="L33" s="33"/>
    </row>
    <row r="34" spans="2:12" ht="14.25" customHeight="1" x14ac:dyDescent="0.3">
      <c r="B34" s="32"/>
      <c r="C34" s="21"/>
      <c r="D34" s="21"/>
      <c r="E34" s="21"/>
      <c r="F34" s="33"/>
      <c r="H34" s="32"/>
      <c r="I34" s="21"/>
      <c r="J34" s="21"/>
      <c r="K34" s="21"/>
      <c r="L34" s="33"/>
    </row>
    <row r="35" spans="2:12" ht="14.25" customHeight="1" x14ac:dyDescent="0.3">
      <c r="B35" s="34"/>
      <c r="C35" s="35"/>
      <c r="D35" s="35"/>
      <c r="E35" s="35"/>
      <c r="F35" s="36"/>
      <c r="H35" s="34"/>
      <c r="I35" s="35"/>
      <c r="J35" s="35"/>
      <c r="K35" s="35"/>
      <c r="L35" s="36"/>
    </row>
    <row r="36" spans="2:12" ht="10.65" customHeight="1" x14ac:dyDescent="0.3"/>
    <row r="37" spans="2:12" ht="14.25" customHeight="1" x14ac:dyDescent="0.3"/>
    <row r="38" spans="2:12" ht="14.25" customHeight="1" x14ac:dyDescent="0.3"/>
    <row r="39" spans="2:12" ht="14.25" customHeight="1" x14ac:dyDescent="0.3"/>
    <row r="40" spans="2:12" ht="14.25" customHeight="1" x14ac:dyDescent="0.3"/>
    <row r="41" spans="2:12" ht="14.25" customHeight="1" x14ac:dyDescent="0.3"/>
    <row r="42" spans="2:12" ht="14.25" customHeight="1" x14ac:dyDescent="0.3">
      <c r="B42" s="11" t="str">
        <f>+'Data Input'!A77</f>
        <v xml:space="preserve">For more information on our unit's finances, contact Joanne McDonough at (734) 429-4907. </v>
      </c>
    </row>
  </sheetData>
  <sheetProtection formatCells="0" formatColumns="0" formatRows="0" insertColumns="0" insertRows="0" deleteColumns="0" deleteRows="0"/>
  <mergeCells count="12">
    <mergeCell ref="B21:F21"/>
    <mergeCell ref="B3:F3"/>
    <mergeCell ref="H5:I5"/>
    <mergeCell ref="H6:I6"/>
    <mergeCell ref="H7:I7"/>
    <mergeCell ref="H8:J8"/>
    <mergeCell ref="H10:I10"/>
    <mergeCell ref="H11:I11"/>
    <mergeCell ref="H12:I12"/>
    <mergeCell ref="H3:J3"/>
    <mergeCell ref="H21:K21"/>
    <mergeCell ref="H9:I9"/>
  </mergeCells>
  <printOptions horizontalCentered="1" verticalCentered="1"/>
  <pageMargins left="0" right="0" top="0.5" bottom="0.5" header="0.3" footer="0.3"/>
  <pageSetup scale="9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C1:S42"/>
  <sheetViews>
    <sheetView showGridLines="0" zoomScaleNormal="100" workbookViewId="0"/>
  </sheetViews>
  <sheetFormatPr defaultColWidth="1.44140625" defaultRowHeight="15" customHeight="1" x14ac:dyDescent="0.3"/>
  <cols>
    <col min="1" max="2" width="1.44140625" style="11" customWidth="1"/>
    <col min="3" max="7" width="10.6640625" style="11" customWidth="1"/>
    <col min="8" max="8" width="1" style="11" customWidth="1"/>
    <col min="9" max="13" width="10.5546875" style="11" customWidth="1"/>
    <col min="14" max="14" width="1" style="11" customWidth="1"/>
    <col min="15" max="19" width="10.6640625" style="11" customWidth="1"/>
    <col min="20" max="20" width="1.33203125" style="11" customWidth="1"/>
    <col min="21" max="21" width="1.44140625" style="11" customWidth="1"/>
    <col min="22" max="16384" width="1.44140625" style="11"/>
  </cols>
  <sheetData>
    <row r="1" spans="3:19" ht="15" customHeight="1" x14ac:dyDescent="0.3">
      <c r="C1" s="9" t="str">
        <f>+'Data Input'!A1</f>
        <v>CITIZENS' GUIDE TO LOCAL UNIT FINANCES - Saline - Washtenaw</v>
      </c>
      <c r="S1" s="54" t="s">
        <v>16</v>
      </c>
    </row>
    <row r="2" spans="3:19" ht="23.25" customHeight="1" x14ac:dyDescent="0.3">
      <c r="C2" s="12"/>
      <c r="R2" s="13"/>
    </row>
    <row r="3" spans="3:19" ht="15" customHeight="1" x14ac:dyDescent="0.3">
      <c r="C3" s="133" t="s">
        <v>56</v>
      </c>
      <c r="D3" s="134"/>
      <c r="E3" s="134"/>
      <c r="F3" s="15"/>
      <c r="G3" s="16"/>
      <c r="I3" s="133" t="s">
        <v>24</v>
      </c>
      <c r="J3" s="134"/>
      <c r="K3" s="134"/>
      <c r="L3" s="137"/>
      <c r="M3" s="16"/>
      <c r="O3" s="133" t="s">
        <v>6</v>
      </c>
      <c r="P3" s="134"/>
      <c r="Q3" s="134"/>
      <c r="R3" s="134"/>
      <c r="S3" s="15"/>
    </row>
    <row r="4" spans="3:19" ht="15" customHeight="1" x14ac:dyDescent="0.3">
      <c r="C4" s="32"/>
      <c r="D4" s="21"/>
      <c r="E4" s="21"/>
      <c r="F4" s="21"/>
      <c r="G4" s="33"/>
      <c r="I4" s="32"/>
      <c r="J4" s="21"/>
      <c r="K4" s="21"/>
      <c r="L4" s="21"/>
      <c r="M4" s="33"/>
      <c r="O4" s="32"/>
      <c r="P4" s="21"/>
      <c r="Q4" s="21"/>
      <c r="R4" s="21"/>
      <c r="S4" s="33"/>
    </row>
    <row r="5" spans="3:19" ht="15" customHeight="1" x14ac:dyDescent="0.3">
      <c r="C5" s="32"/>
      <c r="D5" s="21"/>
      <c r="E5" s="21"/>
      <c r="F5" s="21"/>
      <c r="G5" s="33"/>
      <c r="I5" s="32"/>
      <c r="J5" s="21"/>
      <c r="K5" s="21"/>
      <c r="L5" s="21"/>
      <c r="M5" s="33"/>
      <c r="O5" s="32"/>
      <c r="P5" s="21"/>
      <c r="Q5" s="21"/>
      <c r="R5" s="21"/>
      <c r="S5" s="33"/>
    </row>
    <row r="6" spans="3:19" ht="15" customHeight="1" x14ac:dyDescent="0.3">
      <c r="C6" s="32"/>
      <c r="D6" s="21"/>
      <c r="E6" s="21"/>
      <c r="F6" s="21"/>
      <c r="G6" s="33"/>
      <c r="I6" s="32"/>
      <c r="J6" s="21"/>
      <c r="K6" s="21"/>
      <c r="L6" s="21"/>
      <c r="M6" s="33"/>
      <c r="O6" s="32"/>
      <c r="P6" s="21"/>
      <c r="Q6" s="21"/>
      <c r="R6" s="21"/>
      <c r="S6" s="33"/>
    </row>
    <row r="7" spans="3:19" ht="15" customHeight="1" x14ac:dyDescent="0.3">
      <c r="C7" s="32"/>
      <c r="D7" s="21"/>
      <c r="E7" s="21"/>
      <c r="F7" s="21"/>
      <c r="G7" s="33"/>
      <c r="I7" s="32"/>
      <c r="J7" s="21"/>
      <c r="K7" s="21"/>
      <c r="L7" s="21"/>
      <c r="M7" s="33"/>
      <c r="O7" s="32"/>
      <c r="P7" s="21"/>
      <c r="Q7" s="21"/>
      <c r="R7" s="21"/>
      <c r="S7" s="33"/>
    </row>
    <row r="8" spans="3:19" ht="15" customHeight="1" x14ac:dyDescent="0.3">
      <c r="C8" s="32"/>
      <c r="D8" s="21"/>
      <c r="E8" s="21"/>
      <c r="F8" s="21"/>
      <c r="G8" s="33"/>
      <c r="I8" s="32"/>
      <c r="J8" s="21"/>
      <c r="K8" s="21"/>
      <c r="L8" s="21"/>
      <c r="M8" s="33"/>
      <c r="O8" s="32"/>
      <c r="P8" s="21"/>
      <c r="Q8" s="21"/>
      <c r="R8" s="21"/>
      <c r="S8" s="33"/>
    </row>
    <row r="9" spans="3:19" ht="15" customHeight="1" x14ac:dyDescent="0.3">
      <c r="C9" s="32"/>
      <c r="D9" s="21"/>
      <c r="E9" s="21"/>
      <c r="F9" s="21"/>
      <c r="G9" s="33"/>
      <c r="I9" s="32"/>
      <c r="J9" s="21"/>
      <c r="K9" s="21"/>
      <c r="L9" s="21"/>
      <c r="M9" s="33"/>
      <c r="O9" s="32"/>
      <c r="P9" s="21"/>
      <c r="Q9" s="21"/>
      <c r="R9" s="21"/>
      <c r="S9" s="33"/>
    </row>
    <row r="10" spans="3:19" ht="15" customHeight="1" x14ac:dyDescent="0.3">
      <c r="C10" s="32"/>
      <c r="D10" s="21"/>
      <c r="E10" s="21"/>
      <c r="F10" s="21"/>
      <c r="G10" s="33"/>
      <c r="I10" s="32"/>
      <c r="J10" s="21"/>
      <c r="K10" s="21"/>
      <c r="L10" s="21"/>
      <c r="M10" s="33"/>
      <c r="O10" s="32"/>
      <c r="P10" s="21"/>
      <c r="Q10" s="21"/>
      <c r="R10" s="21"/>
      <c r="S10" s="33"/>
    </row>
    <row r="11" spans="3:19" ht="15" customHeight="1" x14ac:dyDescent="0.3">
      <c r="C11" s="32"/>
      <c r="D11" s="21"/>
      <c r="E11" s="21"/>
      <c r="F11" s="21"/>
      <c r="G11" s="33"/>
      <c r="I11" s="32"/>
      <c r="J11" s="21"/>
      <c r="K11" s="21"/>
      <c r="L11" s="21"/>
      <c r="M11" s="33"/>
      <c r="O11" s="32"/>
      <c r="P11" s="21"/>
      <c r="Q11" s="21"/>
      <c r="R11" s="21"/>
      <c r="S11" s="33"/>
    </row>
    <row r="12" spans="3:19" ht="15" customHeight="1" x14ac:dyDescent="0.3">
      <c r="C12" s="32"/>
      <c r="D12" s="21"/>
      <c r="E12" s="21"/>
      <c r="F12" s="21"/>
      <c r="G12" s="33"/>
      <c r="I12" s="32"/>
      <c r="J12" s="21"/>
      <c r="K12" s="21"/>
      <c r="L12" s="21"/>
      <c r="M12" s="33"/>
      <c r="O12" s="32"/>
      <c r="P12" s="21"/>
      <c r="Q12" s="21"/>
      <c r="R12" s="21"/>
      <c r="S12" s="33"/>
    </row>
    <row r="13" spans="3:19" ht="15" customHeight="1" x14ac:dyDescent="0.3">
      <c r="C13" s="32"/>
      <c r="D13" s="21"/>
      <c r="E13" s="21"/>
      <c r="F13" s="21"/>
      <c r="G13" s="33"/>
      <c r="I13" s="32"/>
      <c r="J13" s="21"/>
      <c r="K13" s="21"/>
      <c r="L13" s="21"/>
      <c r="M13" s="33"/>
      <c r="O13" s="32"/>
      <c r="P13" s="21"/>
      <c r="Q13" s="21"/>
      <c r="R13" s="21"/>
      <c r="S13" s="33"/>
    </row>
    <row r="14" spans="3:19" ht="15" customHeight="1" x14ac:dyDescent="0.3">
      <c r="C14" s="32"/>
      <c r="D14" s="21"/>
      <c r="E14" s="21"/>
      <c r="F14" s="21"/>
      <c r="G14" s="33"/>
      <c r="I14" s="32"/>
      <c r="J14" s="21"/>
      <c r="K14" s="21"/>
      <c r="L14" s="21"/>
      <c r="M14" s="33"/>
      <c r="O14" s="32"/>
      <c r="P14" s="21"/>
      <c r="Q14" s="21"/>
      <c r="R14" s="21"/>
      <c r="S14" s="33"/>
    </row>
    <row r="15" spans="3:19" ht="15" customHeight="1" x14ac:dyDescent="0.3">
      <c r="C15" s="32"/>
      <c r="D15" s="21"/>
      <c r="E15" s="21"/>
      <c r="F15" s="21"/>
      <c r="G15" s="33"/>
      <c r="I15" s="32"/>
      <c r="J15" s="21"/>
      <c r="K15" s="21"/>
      <c r="L15" s="21"/>
      <c r="M15" s="33"/>
      <c r="O15" s="32"/>
      <c r="P15" s="21"/>
      <c r="Q15" s="21"/>
      <c r="R15" s="21"/>
      <c r="S15" s="33"/>
    </row>
    <row r="16" spans="3:19" ht="15" customHeight="1" x14ac:dyDescent="0.3">
      <c r="C16" s="32"/>
      <c r="D16" s="21"/>
      <c r="E16" s="21"/>
      <c r="F16" s="21"/>
      <c r="G16" s="33"/>
      <c r="I16" s="32"/>
      <c r="J16" s="21"/>
      <c r="K16" s="21"/>
      <c r="L16" s="21"/>
      <c r="M16" s="33"/>
      <c r="O16" s="32"/>
      <c r="P16" s="21"/>
      <c r="Q16" s="21"/>
      <c r="R16" s="21"/>
      <c r="S16" s="33"/>
    </row>
    <row r="17" spans="3:19" ht="15" customHeight="1" x14ac:dyDescent="0.3">
      <c r="C17" s="32"/>
      <c r="D17" s="21"/>
      <c r="E17" s="21"/>
      <c r="F17" s="21"/>
      <c r="G17" s="33"/>
      <c r="I17" s="32"/>
      <c r="J17" s="21"/>
      <c r="K17" s="21"/>
      <c r="L17" s="21"/>
      <c r="M17" s="33"/>
      <c r="O17" s="32"/>
      <c r="P17" s="21"/>
      <c r="Q17" s="21"/>
      <c r="R17" s="21"/>
      <c r="S17" s="33"/>
    </row>
    <row r="18" spans="3:19" ht="15" customHeight="1" x14ac:dyDescent="0.3">
      <c r="C18" s="34"/>
      <c r="D18" s="35"/>
      <c r="E18" s="35"/>
      <c r="F18" s="35"/>
      <c r="G18" s="36"/>
      <c r="I18" s="34"/>
      <c r="J18" s="35"/>
      <c r="K18" s="35"/>
      <c r="L18" s="35"/>
      <c r="M18" s="36"/>
      <c r="O18" s="34"/>
      <c r="P18" s="35"/>
      <c r="Q18" s="35"/>
      <c r="R18" s="35"/>
      <c r="S18" s="36"/>
    </row>
    <row r="19" spans="3:19" ht="38.25" customHeight="1" x14ac:dyDescent="0.3"/>
    <row r="20" spans="3:19" ht="15" customHeight="1" x14ac:dyDescent="0.3">
      <c r="C20" s="133" t="s">
        <v>19</v>
      </c>
      <c r="D20" s="134"/>
      <c r="E20" s="134"/>
      <c r="F20" s="15"/>
      <c r="G20" s="16"/>
      <c r="H20" s="16"/>
      <c r="I20" s="16"/>
      <c r="J20" s="16"/>
      <c r="L20" s="50" t="s">
        <v>90</v>
      </c>
      <c r="M20" s="55"/>
      <c r="N20" s="55"/>
      <c r="O20" s="55"/>
      <c r="P20" s="55"/>
      <c r="Q20" s="55"/>
      <c r="R20" s="55"/>
      <c r="S20" s="56"/>
    </row>
    <row r="21" spans="3:19" ht="15" customHeight="1" x14ac:dyDescent="0.3">
      <c r="C21" s="32"/>
      <c r="D21" s="21"/>
      <c r="E21" s="21"/>
      <c r="F21" s="21"/>
      <c r="G21" s="21"/>
      <c r="H21" s="21"/>
      <c r="I21" s="21"/>
      <c r="J21" s="33"/>
      <c r="L21" s="32"/>
      <c r="M21" s="21"/>
      <c r="N21" s="21"/>
      <c r="O21" s="21"/>
      <c r="P21" s="21"/>
      <c r="Q21" s="21"/>
      <c r="R21" s="21"/>
      <c r="S21" s="33"/>
    </row>
    <row r="22" spans="3:19" ht="15" customHeight="1" x14ac:dyDescent="0.3">
      <c r="C22" s="32"/>
      <c r="D22" s="21"/>
      <c r="E22" s="21"/>
      <c r="F22" s="21"/>
      <c r="G22" s="21"/>
      <c r="H22" s="21"/>
      <c r="I22" s="21"/>
      <c r="J22" s="33"/>
      <c r="L22" s="32"/>
      <c r="M22" s="21"/>
      <c r="N22" s="21"/>
      <c r="O22" s="21"/>
      <c r="P22" s="21"/>
      <c r="Q22" s="21"/>
      <c r="R22" s="21"/>
      <c r="S22" s="33"/>
    </row>
    <row r="23" spans="3:19" ht="15" customHeight="1" x14ac:dyDescent="0.3">
      <c r="C23" s="32"/>
      <c r="D23" s="21"/>
      <c r="E23" s="21"/>
      <c r="F23" s="21"/>
      <c r="G23" s="21"/>
      <c r="H23" s="21"/>
      <c r="I23" s="21"/>
      <c r="J23" s="33"/>
      <c r="L23" s="32"/>
      <c r="M23" s="21"/>
      <c r="N23" s="21"/>
      <c r="O23" s="21"/>
      <c r="P23" s="21"/>
      <c r="Q23" s="21"/>
      <c r="R23" s="21"/>
      <c r="S23" s="33"/>
    </row>
    <row r="24" spans="3:19" ht="15" customHeight="1" x14ac:dyDescent="0.3">
      <c r="C24" s="32"/>
      <c r="D24" s="21"/>
      <c r="E24" s="21"/>
      <c r="F24" s="21"/>
      <c r="G24" s="21"/>
      <c r="H24" s="21"/>
      <c r="I24" s="21"/>
      <c r="J24" s="33"/>
      <c r="L24" s="32"/>
      <c r="M24" s="21"/>
      <c r="N24" s="21"/>
      <c r="O24" s="21"/>
      <c r="P24" s="21"/>
      <c r="Q24" s="21"/>
      <c r="R24" s="21"/>
      <c r="S24" s="33"/>
    </row>
    <row r="25" spans="3:19" ht="15" customHeight="1" x14ac:dyDescent="0.3">
      <c r="C25" s="32"/>
      <c r="D25" s="21"/>
      <c r="E25" s="21"/>
      <c r="F25" s="21"/>
      <c r="G25" s="21"/>
      <c r="H25" s="21"/>
      <c r="I25" s="21"/>
      <c r="J25" s="33"/>
      <c r="L25" s="32"/>
      <c r="M25" s="21"/>
      <c r="N25" s="21"/>
      <c r="O25" s="21"/>
      <c r="P25" s="21"/>
      <c r="Q25" s="21"/>
      <c r="R25" s="21"/>
      <c r="S25" s="33"/>
    </row>
    <row r="26" spans="3:19" ht="15" customHeight="1" x14ac:dyDescent="0.3">
      <c r="C26" s="32"/>
      <c r="D26" s="21"/>
      <c r="E26" s="21"/>
      <c r="F26" s="21"/>
      <c r="G26" s="21"/>
      <c r="H26" s="21"/>
      <c r="I26" s="21"/>
      <c r="J26" s="33"/>
      <c r="L26" s="32"/>
      <c r="M26" s="21"/>
      <c r="N26" s="21"/>
      <c r="O26" s="21"/>
      <c r="P26" s="21"/>
      <c r="Q26" s="21"/>
      <c r="R26" s="21"/>
      <c r="S26" s="33"/>
    </row>
    <row r="27" spans="3:19" ht="15" customHeight="1" x14ac:dyDescent="0.3">
      <c r="C27" s="32"/>
      <c r="D27" s="21"/>
      <c r="E27" s="21"/>
      <c r="F27" s="21"/>
      <c r="G27" s="21"/>
      <c r="H27" s="21"/>
      <c r="I27" s="21"/>
      <c r="J27" s="33"/>
      <c r="L27" s="32"/>
      <c r="M27" s="21"/>
      <c r="N27" s="21"/>
      <c r="O27" s="21"/>
      <c r="P27" s="21"/>
      <c r="Q27" s="21"/>
      <c r="R27" s="21"/>
      <c r="S27" s="33"/>
    </row>
    <row r="28" spans="3:19" ht="15" customHeight="1" x14ac:dyDescent="0.3">
      <c r="C28" s="32"/>
      <c r="D28" s="21"/>
      <c r="E28" s="21"/>
      <c r="F28" s="21"/>
      <c r="G28" s="21"/>
      <c r="H28" s="21"/>
      <c r="I28" s="21"/>
      <c r="J28" s="33"/>
      <c r="L28" s="32"/>
      <c r="M28" s="21"/>
      <c r="N28" s="21"/>
      <c r="O28" s="21"/>
      <c r="P28" s="21"/>
      <c r="Q28" s="21"/>
      <c r="R28" s="21"/>
      <c r="S28" s="33"/>
    </row>
    <row r="29" spans="3:19" ht="15" customHeight="1" x14ac:dyDescent="0.3">
      <c r="C29" s="32"/>
      <c r="D29" s="21"/>
      <c r="E29" s="21"/>
      <c r="F29" s="21"/>
      <c r="G29" s="21"/>
      <c r="H29" s="21"/>
      <c r="I29" s="21"/>
      <c r="J29" s="33"/>
      <c r="L29" s="32"/>
      <c r="M29" s="21"/>
      <c r="N29" s="21"/>
      <c r="O29" s="21"/>
      <c r="P29" s="21"/>
      <c r="Q29" s="21"/>
      <c r="R29" s="21"/>
      <c r="S29" s="33"/>
    </row>
    <row r="30" spans="3:19" ht="15" customHeight="1" x14ac:dyDescent="0.3">
      <c r="C30" s="32"/>
      <c r="D30" s="21"/>
      <c r="E30" s="21"/>
      <c r="F30" s="21"/>
      <c r="G30" s="21"/>
      <c r="H30" s="21"/>
      <c r="I30" s="21"/>
      <c r="J30" s="33"/>
      <c r="L30" s="32"/>
      <c r="M30" s="21"/>
      <c r="N30" s="21"/>
      <c r="O30" s="21"/>
      <c r="P30" s="21"/>
      <c r="Q30" s="21"/>
      <c r="R30" s="21"/>
      <c r="S30" s="33"/>
    </row>
    <row r="31" spans="3:19" ht="15" customHeight="1" x14ac:dyDescent="0.3">
      <c r="C31" s="32"/>
      <c r="D31" s="21"/>
      <c r="E31" s="21"/>
      <c r="F31" s="21"/>
      <c r="G31" s="21"/>
      <c r="H31" s="21"/>
      <c r="I31" s="21"/>
      <c r="J31" s="33"/>
      <c r="L31" s="32"/>
      <c r="M31" s="21"/>
      <c r="N31" s="21"/>
      <c r="O31" s="21"/>
      <c r="P31" s="21"/>
      <c r="Q31" s="21"/>
      <c r="R31" s="21"/>
      <c r="S31" s="33"/>
    </row>
    <row r="32" spans="3:19" ht="15" customHeight="1" x14ac:dyDescent="0.3">
      <c r="C32" s="32"/>
      <c r="D32" s="21"/>
      <c r="E32" s="21"/>
      <c r="F32" s="21"/>
      <c r="G32" s="21"/>
      <c r="H32" s="21"/>
      <c r="I32" s="21"/>
      <c r="J32" s="33"/>
      <c r="L32" s="32"/>
      <c r="M32" s="21"/>
      <c r="N32" s="21"/>
      <c r="O32" s="21"/>
      <c r="P32" s="21"/>
      <c r="Q32" s="21"/>
      <c r="R32" s="21"/>
      <c r="S32" s="33"/>
    </row>
    <row r="33" spans="3:19" ht="15" customHeight="1" x14ac:dyDescent="0.3">
      <c r="C33" s="32"/>
      <c r="D33" s="21"/>
      <c r="E33" s="21"/>
      <c r="F33" s="21"/>
      <c r="G33" s="21"/>
      <c r="H33" s="21"/>
      <c r="I33" s="21"/>
      <c r="J33" s="33"/>
      <c r="L33" s="32"/>
      <c r="M33" s="21"/>
      <c r="N33" s="21"/>
      <c r="O33" s="21"/>
      <c r="P33" s="21"/>
      <c r="Q33" s="21"/>
      <c r="R33" s="21"/>
      <c r="S33" s="33"/>
    </row>
    <row r="34" spans="3:19" ht="15" customHeight="1" x14ac:dyDescent="0.3">
      <c r="C34" s="32"/>
      <c r="D34" s="21"/>
      <c r="E34" s="21"/>
      <c r="F34" s="21"/>
      <c r="G34" s="21"/>
      <c r="H34" s="21"/>
      <c r="I34" s="21"/>
      <c r="J34" s="33"/>
      <c r="L34" s="32"/>
      <c r="M34" s="21"/>
      <c r="N34" s="21"/>
      <c r="O34" s="21"/>
      <c r="P34" s="21"/>
      <c r="Q34" s="21"/>
      <c r="R34" s="21"/>
      <c r="S34" s="33"/>
    </row>
    <row r="35" spans="3:19" ht="15" customHeight="1" x14ac:dyDescent="0.3">
      <c r="C35" s="34"/>
      <c r="D35" s="35"/>
      <c r="E35" s="35"/>
      <c r="F35" s="35"/>
      <c r="G35" s="35"/>
      <c r="H35" s="35"/>
      <c r="I35" s="35"/>
      <c r="J35" s="36"/>
      <c r="L35" s="34"/>
      <c r="M35" s="35"/>
      <c r="N35" s="35"/>
      <c r="O35" s="35"/>
      <c r="P35" s="35"/>
      <c r="Q35" s="35"/>
      <c r="R35" s="35"/>
      <c r="S35" s="36"/>
    </row>
    <row r="36" spans="3:19" ht="22.05" customHeight="1" x14ac:dyDescent="0.3"/>
    <row r="42" spans="3:19" ht="15" customHeight="1" x14ac:dyDescent="0.3">
      <c r="C42" s="11" t="str">
        <f>+'Data Input'!A77</f>
        <v xml:space="preserve">For more information on our unit's finances, contact Joanne McDonough at (734) 429-4907. </v>
      </c>
    </row>
  </sheetData>
  <sheetProtection formatCells="0" formatColumns="0" formatRows="0" insertColumns="0" insertRows="0" deleteColumns="0" deleteRows="0"/>
  <mergeCells count="4">
    <mergeCell ref="C3:E3"/>
    <mergeCell ref="C20:E20"/>
    <mergeCell ref="O3:R3"/>
    <mergeCell ref="I3:L3"/>
  </mergeCells>
  <printOptions horizontalCentered="1"/>
  <pageMargins left="0" right="0" top="0.5" bottom="0.5" header="0.3" footer="0.3"/>
  <pageSetup scale="80" orientation="landscape" r:id="rId1"/>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Data Input</vt:lpstr>
      <vt:lpstr>Rev</vt:lpstr>
      <vt:lpstr>Exp</vt:lpstr>
      <vt:lpstr>Position</vt:lpstr>
      <vt:lpstr>Obligations</vt:lpstr>
      <vt:lpstr>'Data Input'!Print_Area</vt:lpstr>
      <vt:lpstr>Exp!Print_Area</vt:lpstr>
      <vt:lpstr>Position!Print_Area</vt:lpstr>
      <vt:lpstr>Rev!Print_Area</vt:lpstr>
      <vt:lpstr>'Data Input'!Print_Titles</vt:lpstr>
    </vt:vector>
  </TitlesOfParts>
  <Company>Plante &amp; Moran, PLLC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Schafer, Suzanne K. (Treasury)</dc:creator>
  <cp:lastModifiedBy>Note</cp:lastModifiedBy>
  <cp:lastPrinted>2020-11-09T22:26:25Z</cp:lastPrinted>
  <dcterms:created xsi:type="dcterms:W3CDTF">2011-01-04T15:16:36Z</dcterms:created>
  <dcterms:modified xsi:type="dcterms:W3CDTF">2020-11-12T15:44:46Z</dcterms:modified>
</cp:coreProperties>
</file>